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H:\1a. 2024\Board of Trustees\3. June 14th\"/>
    </mc:Choice>
  </mc:AlternateContent>
  <xr:revisionPtr revIDLastSave="0" documentId="13_ncr:1_{25E695E9-2D5A-4B34-B98F-A825B4F7DBB1}" xr6:coauthVersionLast="47" xr6:coauthVersionMax="47" xr10:uidLastSave="{00000000-0000-0000-0000-000000000000}"/>
  <bookViews>
    <workbookView xWindow="-120" yWindow="-120" windowWidth="29040" windowHeight="15720" tabRatio="949" firstSheet="1" activeTab="1" xr2:uid="{00000000-000D-0000-FFFF-FFFF00000000}"/>
  </bookViews>
  <sheets>
    <sheet name="Data" sheetId="7" state="hidden" r:id="rId1"/>
    <sheet name="Header" sheetId="8" r:id="rId2"/>
    <sheet name="Index Page" sheetId="18" r:id="rId3"/>
    <sheet name="Statement of Responsibility" sheetId="19" r:id="rId4"/>
    <sheet name="Comprehensive Income" sheetId="1" r:id="rId5"/>
    <sheet name="Equity" sheetId="4" r:id="rId6"/>
    <sheet name="Financial Position" sheetId="3" r:id="rId7"/>
    <sheet name="Cashflow Statement" sheetId="20" r:id="rId8"/>
    <sheet name="Policies" sheetId="31" state="hidden" r:id="rId9"/>
    <sheet name="Notes" sheetId="5" state="hidden" r:id="rId10"/>
    <sheet name="Employer Compliance" sheetId="33" state="hidden" r:id="rId11"/>
    <sheet name="Cashflow Workpaper" sheetId="27" state="hidden" r:id="rId12"/>
    <sheet name="Cashflow Workpaper 2022" sheetId="35" state="hidden" r:id="rId13"/>
    <sheet name="Codes allocation" sheetId="26" state="hidden" r:id="rId14"/>
    <sheet name="Payroll recon" sheetId="17" state="hidden" r:id="rId15"/>
    <sheet name="ESLData" sheetId="14" state="hidden" r:id="rId16"/>
  </sheets>
  <externalReferences>
    <externalReference r:id="rId17"/>
    <externalReference r:id="rId18"/>
    <externalReference r:id="rId19"/>
    <externalReference r:id="rId20"/>
    <externalReference r:id="rId21"/>
  </externalReferences>
  <definedNames>
    <definedName name="_xlnm._FilterDatabase" localSheetId="15" hidden="1">ESLData!$A$1:$H$1096</definedName>
    <definedName name="_xlnm._FilterDatabase" localSheetId="9" hidden="1">Notes!$F$172:$J$181</definedName>
    <definedName name="ARA_Threshold" localSheetId="10">[1]Lead!$O$2</definedName>
    <definedName name="ARA_Threshold">[1]Lead!$O$2</definedName>
    <definedName name="ARP_Threshold" localSheetId="10">[1]Lead!$N$2</definedName>
    <definedName name="ARP_Threshold">[1]Lead!$N$2</definedName>
    <definedName name="CY_Roll" localSheetId="12">#REF!</definedName>
    <definedName name="CY_Roll" localSheetId="10">#REF!</definedName>
    <definedName name="CY_Roll" localSheetId="8">#REF!</definedName>
    <definedName name="CY_Roll">#REF!</definedName>
    <definedName name="DA_2120543759200000109" localSheetId="12" hidden="1">[2]Cashflow!#REF!</definedName>
    <definedName name="DA_2120543759200000109" localSheetId="10" hidden="1">[2]Cashflow!#REF!</definedName>
    <definedName name="DA_2120543759200000109" localSheetId="8" hidden="1">[3]Cashflow!#REF!</definedName>
    <definedName name="DA_2120543759200000109" hidden="1">[2]Cashflow!#REF!</definedName>
    <definedName name="FY" localSheetId="10">#REF!</definedName>
    <definedName name="FY" localSheetId="8">#REF!</definedName>
    <definedName name="FY">[4]Inputs!$B$3</definedName>
    <definedName name="Payment">[5]Data!$B$22</definedName>
    <definedName name="PerYr">[5]Data!$B$11</definedName>
    <definedName name="_xlnm.Print_Area" localSheetId="7">'Cashflow Statement'!$A$1:$E$58</definedName>
    <definedName name="_xlnm.Print_Area" localSheetId="4">'Comprehensive Income'!$A$1:$E$40</definedName>
    <definedName name="_xlnm.Print_Area" localSheetId="5">Equity!$A$1:$E$38</definedName>
    <definedName name="_xlnm.Print_Area" localSheetId="6">'Financial Position'!$A$1:$E$52</definedName>
    <definedName name="_xlnm.Print_Area" localSheetId="1">Header!$A$1:$D$37</definedName>
    <definedName name="_xlnm.Print_Area" localSheetId="2">'Index Page'!$A$1:$J$47</definedName>
    <definedName name="_xlnm.Print_Area" localSheetId="9">Notes!$A$1:$I$531</definedName>
    <definedName name="_xlnm.Print_Area" localSheetId="8">Policies!$B$1:$C$346</definedName>
    <definedName name="_xlnm.Print_Area" localSheetId="3">'Statement of Responsibility'!$A$1:$I$49</definedName>
    <definedName name="PY_Roll" localSheetId="10">#REF!</definedName>
    <definedName name="PY_Roll" localSheetId="8">#REF!</definedName>
    <definedName name="PY_Roll">#REF!</definedName>
    <definedName name="Pymts">[5]Data!$B$10</definedName>
    <definedName name="SchoolName" localSheetId="12">#REF!</definedName>
    <definedName name="SchoolName" localSheetId="10">#REF!</definedName>
    <definedName name="SchoolName" localSheetId="8">#REF!</definedName>
    <definedName name="SchoolName">#REF!</definedName>
    <definedName name="Yr">[5]Data!$B$12</definedName>
    <definedName name="Z_16158AC0_BDC0_11D7_BABA_AD30328A5118_.wvu.PrintArea" localSheetId="4" hidden="1">'Comprehensive Income'!$A$1:$F$40</definedName>
    <definedName name="Z_16158AC0_BDC0_11D7_BABA_AD30328A5118_.wvu.PrintArea" localSheetId="10" hidden="1">'Employer Compliance'!#REF!</definedName>
    <definedName name="Z_16158AC0_BDC0_11D7_BABA_AD30328A5118_.wvu.PrintArea" localSheetId="5" hidden="1">Equity!$A$1:$F$49</definedName>
    <definedName name="Z_16158AC0_BDC0_11D7_BABA_AD30328A5118_.wvu.PrintArea" localSheetId="6" hidden="1">'Financial Position'!$A$2:$E$60</definedName>
    <definedName name="Z_16158AC0_BDC0_11D7_BABA_AD30328A5118_.wvu.PrintArea" localSheetId="9" hidden="1">Notes!$1:$1048576</definedName>
    <definedName name="Z_2F1C2500_C7E9_11D7_BAB9_00065B3658C6_.wvu.PrintArea" localSheetId="4" hidden="1">'Comprehensive Income'!$A$1:$F$40</definedName>
    <definedName name="Z_2F1C2500_C7E9_11D7_BAB9_00065B3658C6_.wvu.PrintArea" localSheetId="10" hidden="1">'Employer Compliance'!#REF!</definedName>
    <definedName name="Z_2F1C2500_C7E9_11D7_BAB9_00065B3658C6_.wvu.PrintArea" localSheetId="5" hidden="1">Equity!$A$1:$F$49</definedName>
    <definedName name="Z_2F1C2500_C7E9_11D7_BAB9_00065B3658C6_.wvu.PrintArea" localSheetId="6" hidden="1">'Financial Position'!$A$2:$E$60</definedName>
    <definedName name="Z_2F1C2500_C7E9_11D7_BAB9_00065B3658C6_.wvu.PrintArea" localSheetId="9" hidden="1">Notes!$1:$1048576</definedName>
    <definedName name="Z_2F1C2502_C7E9_11D7_BAB9_00065B3658C6_.wvu.PrintArea" localSheetId="7" hidden="1">'Cashflow Statement'!$A$1:$E$60</definedName>
    <definedName name="Z_D97F6880_C1EB_11D7_BABA_97F470F7481E_.wvu.PrintArea" localSheetId="7" hidden="1">'Cashflow Statement'!$A$1:$E$60</definedName>
  </definedNames>
  <calcPr calcId="191029"/>
  <customWorkbookViews>
    <customWorkbookView name="Steve Kelsen MoE - Personal View" guid="{2F1C2500-C7E9-11D7-BAB9-00065B3658C6}" mergeInterval="0" personalView="1" maximized="1" windowWidth="1020" windowHeight="606" tabRatio="729" activeSheetId="2"/>
    <customWorkbookView name="Bridget Hesketh - Personal View" guid="{16158AC0-BDC0-11D7-BABA-AD30328A5118}" mergeInterval="0" personalView="1" maximized="1" windowWidth="1020" windowHeight="606" tabRatio="72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8" l="1"/>
  <c r="H229" i="5"/>
  <c r="H230" i="5"/>
  <c r="H227" i="5"/>
  <c r="D15" i="27" l="1"/>
  <c r="G417" i="5" l="1"/>
  <c r="F417" i="5" l="1"/>
  <c r="G215" i="5"/>
  <c r="G221" i="5" s="1"/>
  <c r="D215" i="5"/>
  <c r="D221" i="5" s="1"/>
  <c r="E221" i="5"/>
  <c r="F221" i="5"/>
  <c r="C234" i="5"/>
  <c r="H220" i="5"/>
  <c r="E233" i="5" s="1"/>
  <c r="D233" i="5" s="1"/>
  <c r="H459" i="5" l="1"/>
  <c r="H469" i="5" s="1"/>
  <c r="D186" i="27" l="1"/>
  <c r="D183" i="27"/>
  <c r="D172" i="27"/>
  <c r="D123" i="27"/>
  <c r="D103" i="27"/>
  <c r="D93" i="27"/>
  <c r="D38" i="27"/>
  <c r="D36" i="27"/>
  <c r="D18" i="27"/>
  <c r="D14" i="27"/>
  <c r="H360" i="5" l="1"/>
  <c r="E17" i="3" s="1"/>
  <c r="H359" i="5"/>
  <c r="E25" i="3" s="1"/>
  <c r="H344" i="5"/>
  <c r="H345" i="5"/>
  <c r="E40" i="26" l="1"/>
  <c r="E41" i="26"/>
  <c r="G40" i="26"/>
  <c r="G41" i="26"/>
  <c r="K173" i="26"/>
  <c r="K174" i="26"/>
  <c r="K175" i="26"/>
  <c r="K176" i="26"/>
  <c r="K177" i="26"/>
  <c r="K178" i="26"/>
  <c r="K179" i="26"/>
  <c r="K180" i="26"/>
  <c r="C179" i="26"/>
  <c r="E179" i="26"/>
  <c r="G179" i="26"/>
  <c r="K1244" i="26" l="1"/>
  <c r="C1244" i="26"/>
  <c r="E1244" i="26"/>
  <c r="G1244" i="26"/>
  <c r="K1239" i="26"/>
  <c r="K1240" i="26"/>
  <c r="K1241" i="26"/>
  <c r="C1239" i="26"/>
  <c r="E1239" i="26"/>
  <c r="G1239" i="26"/>
  <c r="C1240" i="26"/>
  <c r="E1240" i="26"/>
  <c r="G1240" i="26"/>
  <c r="C1241" i="26"/>
  <c r="E1241" i="26"/>
  <c r="G1241" i="26"/>
  <c r="K1162" i="26"/>
  <c r="C1162" i="26"/>
  <c r="D1162" i="26" s="1"/>
  <c r="E1162" i="26"/>
  <c r="F1162" i="26" s="1"/>
  <c r="G1162" i="26"/>
  <c r="K992" i="26"/>
  <c r="C992" i="26"/>
  <c r="E992" i="26"/>
  <c r="G992" i="26"/>
  <c r="K599" i="26"/>
  <c r="C599" i="26"/>
  <c r="E599" i="26"/>
  <c r="G599" i="26"/>
  <c r="K245" i="26"/>
  <c r="K246" i="26"/>
  <c r="K247" i="26"/>
  <c r="C247" i="26"/>
  <c r="E247" i="26"/>
  <c r="G247" i="26"/>
  <c r="K990" i="26"/>
  <c r="K989" i="26"/>
  <c r="C989" i="26"/>
  <c r="E989" i="26"/>
  <c r="G989" i="26"/>
  <c r="K202" i="26"/>
  <c r="C202" i="26"/>
  <c r="E202" i="26"/>
  <c r="G202" i="26"/>
  <c r="K929" i="26"/>
  <c r="K930" i="26"/>
  <c r="C929" i="26"/>
  <c r="E929" i="26"/>
  <c r="G929" i="26"/>
  <c r="C930" i="26"/>
  <c r="E930" i="26"/>
  <c r="G930" i="26"/>
  <c r="C931" i="26"/>
  <c r="E931" i="26"/>
  <c r="G931" i="26"/>
  <c r="K580" i="26"/>
  <c r="K581" i="26"/>
  <c r="K582" i="26"/>
  <c r="K583" i="26"/>
  <c r="K584" i="26"/>
  <c r="K585" i="26"/>
  <c r="K586" i="26"/>
  <c r="K587" i="26"/>
  <c r="K588" i="26"/>
  <c r="C580" i="26"/>
  <c r="E580" i="26"/>
  <c r="G580" i="26"/>
  <c r="C581" i="26"/>
  <c r="E581" i="26"/>
  <c r="G581" i="26"/>
  <c r="C582" i="26"/>
  <c r="E582" i="26"/>
  <c r="G582" i="26"/>
  <c r="C583" i="26"/>
  <c r="E583" i="26"/>
  <c r="G583" i="26"/>
  <c r="C584" i="26"/>
  <c r="E584" i="26"/>
  <c r="G584" i="26"/>
  <c r="C585" i="26"/>
  <c r="E585" i="26"/>
  <c r="G585" i="26"/>
  <c r="C586" i="26"/>
  <c r="E586" i="26"/>
  <c r="G586" i="26"/>
  <c r="C587" i="26"/>
  <c r="E587" i="26"/>
  <c r="G587" i="26"/>
  <c r="C588" i="26"/>
  <c r="E588" i="26"/>
  <c r="G588" i="26"/>
  <c r="K752" i="26"/>
  <c r="K751" i="26"/>
  <c r="C751" i="26"/>
  <c r="E751" i="26"/>
  <c r="G751" i="26"/>
  <c r="C752" i="26"/>
  <c r="E752" i="26"/>
  <c r="G752" i="26"/>
  <c r="K195" i="26"/>
  <c r="C195" i="26"/>
  <c r="E195" i="26"/>
  <c r="G195" i="26"/>
  <c r="K194" i="26"/>
  <c r="C194" i="26"/>
  <c r="E194" i="26"/>
  <c r="G194" i="26"/>
  <c r="C714" i="26"/>
  <c r="E714" i="26"/>
  <c r="G714" i="26"/>
  <c r="C715" i="26"/>
  <c r="E715" i="26"/>
  <c r="G715" i="26"/>
  <c r="C990" i="26"/>
  <c r="E990" i="26"/>
  <c r="G990" i="26"/>
  <c r="C41" i="26"/>
  <c r="C17" i="3" l="1"/>
  <c r="C31" i="20" l="1"/>
  <c r="C32" i="20"/>
  <c r="C33" i="20"/>
  <c r="B180" i="31" l="1"/>
  <c r="B10" i="31"/>
  <c r="E25" i="20"/>
  <c r="E24" i="20"/>
  <c r="D171" i="27" l="1"/>
  <c r="D10" i="27" l="1"/>
  <c r="E1194" i="26" l="1"/>
  <c r="B209" i="5"/>
  <c r="D21" i="4"/>
  <c r="C466" i="26" l="1"/>
  <c r="E466" i="26"/>
  <c r="G466" i="26"/>
  <c r="C411" i="26"/>
  <c r="E411" i="26"/>
  <c r="G411" i="26"/>
  <c r="C396" i="26"/>
  <c r="E396" i="26"/>
  <c r="G396" i="26"/>
  <c r="C245" i="26"/>
  <c r="E245" i="26"/>
  <c r="G245" i="26"/>
  <c r="C246" i="26"/>
  <c r="E246" i="26"/>
  <c r="G246" i="26"/>
  <c r="C177" i="26"/>
  <c r="E177" i="26"/>
  <c r="G177" i="26"/>
  <c r="C178" i="26"/>
  <c r="E178" i="26"/>
  <c r="G178" i="26"/>
  <c r="C180" i="26"/>
  <c r="E180" i="26"/>
  <c r="G180" i="26"/>
  <c r="C139" i="26"/>
  <c r="E139" i="26"/>
  <c r="G139" i="26"/>
  <c r="C142" i="26"/>
  <c r="E142" i="26"/>
  <c r="G142" i="26"/>
  <c r="C122" i="26"/>
  <c r="E122" i="26"/>
  <c r="G122" i="26"/>
  <c r="C97" i="26"/>
  <c r="E97" i="26"/>
  <c r="G97" i="26"/>
  <c r="G15" i="26"/>
  <c r="E15" i="26"/>
  <c r="C15" i="26"/>
  <c r="G49" i="26"/>
  <c r="E49" i="26"/>
  <c r="C49" i="26"/>
  <c r="C40" i="26"/>
  <c r="B224" i="8" l="1"/>
  <c r="B227" i="18"/>
  <c r="B227" i="19"/>
  <c r="C230" i="1"/>
  <c r="C228" i="4"/>
  <c r="C228" i="3"/>
  <c r="B228" i="20"/>
  <c r="D228" i="8"/>
  <c r="D231" i="18"/>
  <c r="D231" i="19"/>
  <c r="E234" i="1"/>
  <c r="E232" i="4"/>
  <c r="E232" i="3"/>
  <c r="D232" i="20"/>
  <c r="G224" i="8"/>
  <c r="G227" i="18"/>
  <c r="G227" i="19"/>
  <c r="H230" i="1"/>
  <c r="H228" i="4"/>
  <c r="H228" i="3"/>
  <c r="G228" i="20"/>
  <c r="E224" i="8"/>
  <c r="E227" i="18"/>
  <c r="E227" i="19"/>
  <c r="F230" i="1"/>
  <c r="F228" i="4"/>
  <c r="F228" i="3"/>
  <c r="E228" i="20"/>
  <c r="E228" i="8"/>
  <c r="E231" i="18"/>
  <c r="E231" i="19"/>
  <c r="F234" i="1"/>
  <c r="F232" i="4"/>
  <c r="F232" i="3"/>
  <c r="E232" i="20"/>
  <c r="C218" i="5" l="1"/>
  <c r="H218" i="5" s="1"/>
  <c r="C217" i="5"/>
  <c r="H217" i="5" s="1"/>
  <c r="C216" i="5"/>
  <c r="C215" i="5"/>
  <c r="C214" i="5"/>
  <c r="C219" i="5"/>
  <c r="H219" i="5" l="1"/>
  <c r="E232" i="5" s="1"/>
  <c r="D232" i="5" s="1"/>
  <c r="C221" i="5"/>
  <c r="C24" i="20" l="1"/>
  <c r="E34" i="27" l="1"/>
  <c r="H34" i="27"/>
  <c r="D34" i="27"/>
  <c r="C641" i="26" l="1"/>
  <c r="E641" i="26"/>
  <c r="G641" i="26"/>
  <c r="C642" i="26"/>
  <c r="E642" i="26"/>
  <c r="G642" i="26"/>
  <c r="C643" i="26"/>
  <c r="E643" i="26"/>
  <c r="G643" i="26"/>
  <c r="C644" i="26"/>
  <c r="E644" i="26"/>
  <c r="G644" i="26"/>
  <c r="K1228" i="26" l="1"/>
  <c r="K1229" i="26"/>
  <c r="C1228" i="26"/>
  <c r="E1228" i="26"/>
  <c r="G1228" i="26"/>
  <c r="C1229" i="26"/>
  <c r="E1229" i="26"/>
  <c r="G1229" i="26"/>
  <c r="K1283" i="26"/>
  <c r="C1283" i="26"/>
  <c r="E1283" i="26"/>
  <c r="G1283" i="26"/>
  <c r="K1272" i="26"/>
  <c r="C1272" i="26"/>
  <c r="E1272" i="26"/>
  <c r="G1272" i="26"/>
  <c r="K1143" i="26"/>
  <c r="C1143" i="26"/>
  <c r="E1143" i="26"/>
  <c r="G1143" i="26"/>
  <c r="K764" i="26"/>
  <c r="K765" i="26"/>
  <c r="K766" i="26"/>
  <c r="K767" i="26"/>
  <c r="C764" i="26"/>
  <c r="E764" i="26"/>
  <c r="G764" i="26"/>
  <c r="C765" i="26"/>
  <c r="E765" i="26"/>
  <c r="G765" i="26"/>
  <c r="C766" i="26"/>
  <c r="E766" i="26"/>
  <c r="G766" i="26"/>
  <c r="C767" i="26"/>
  <c r="E767" i="26"/>
  <c r="G767" i="26"/>
  <c r="C768" i="26"/>
  <c r="E768" i="26"/>
  <c r="G768" i="26"/>
  <c r="K720" i="26"/>
  <c r="C720" i="26"/>
  <c r="E720" i="26"/>
  <c r="G720" i="26"/>
  <c r="K644" i="26"/>
  <c r="K645" i="26"/>
  <c r="K646" i="26"/>
  <c r="K647" i="26"/>
  <c r="K648" i="26"/>
  <c r="K649" i="26"/>
  <c r="K650" i="26"/>
  <c r="K651" i="26"/>
  <c r="C645" i="26"/>
  <c r="E645" i="26"/>
  <c r="G645" i="26"/>
  <c r="C646" i="26"/>
  <c r="E646" i="26"/>
  <c r="G646" i="26"/>
  <c r="C647" i="26"/>
  <c r="E647" i="26"/>
  <c r="G647" i="26"/>
  <c r="C648" i="26"/>
  <c r="E648" i="26"/>
  <c r="G648" i="26"/>
  <c r="C649" i="26"/>
  <c r="E649" i="26"/>
  <c r="G649" i="26"/>
  <c r="C650" i="26"/>
  <c r="E650" i="26"/>
  <c r="G650" i="26"/>
  <c r="C651" i="26"/>
  <c r="E651" i="26"/>
  <c r="G651" i="26"/>
  <c r="C652" i="26"/>
  <c r="E652" i="26"/>
  <c r="G652" i="26"/>
  <c r="K1004" i="26"/>
  <c r="G1004" i="26"/>
  <c r="H1004" i="26" s="1"/>
  <c r="H302" i="5" s="1"/>
  <c r="E1004" i="26"/>
  <c r="F1004" i="26" s="1"/>
  <c r="C1004" i="26"/>
  <c r="D1004" i="26" s="1"/>
  <c r="F302" i="5" s="1"/>
  <c r="K1003" i="26"/>
  <c r="K598" i="26"/>
  <c r="C598" i="26"/>
  <c r="E598" i="26"/>
  <c r="G598" i="26"/>
  <c r="K264" i="26"/>
  <c r="K265" i="26"/>
  <c r="C264" i="26"/>
  <c r="E264" i="26"/>
  <c r="G264" i="26"/>
  <c r="C265" i="26"/>
  <c r="E265" i="26"/>
  <c r="G265" i="26"/>
  <c r="K699" i="26"/>
  <c r="C699" i="26"/>
  <c r="E699" i="26"/>
  <c r="G699" i="26"/>
  <c r="K414" i="26"/>
  <c r="C414" i="26"/>
  <c r="E414" i="26"/>
  <c r="G414" i="26"/>
  <c r="K225" i="26"/>
  <c r="K226" i="26"/>
  <c r="K227" i="26"/>
  <c r="K228" i="26"/>
  <c r="C225" i="26"/>
  <c r="E225" i="26"/>
  <c r="G225" i="26"/>
  <c r="C226" i="26"/>
  <c r="E226" i="26"/>
  <c r="G226" i="26"/>
  <c r="C227" i="26"/>
  <c r="E227" i="26"/>
  <c r="G227" i="26"/>
  <c r="C228" i="26"/>
  <c r="E228" i="26"/>
  <c r="G228" i="26"/>
  <c r="C176" i="26"/>
  <c r="E176" i="26"/>
  <c r="G176" i="26"/>
  <c r="K167" i="26"/>
  <c r="K168" i="26"/>
  <c r="K169" i="26"/>
  <c r="K170" i="26"/>
  <c r="K171" i="26"/>
  <c r="K172" i="26"/>
  <c r="C167" i="26"/>
  <c r="E167" i="26"/>
  <c r="G167" i="26"/>
  <c r="C168" i="26"/>
  <c r="E168" i="26"/>
  <c r="G168" i="26"/>
  <c r="C169" i="26"/>
  <c r="E169" i="26"/>
  <c r="G169" i="26"/>
  <c r="C170" i="26"/>
  <c r="E170" i="26"/>
  <c r="G170" i="26"/>
  <c r="C171" i="26"/>
  <c r="E171" i="26"/>
  <c r="G171" i="26"/>
  <c r="C172" i="26"/>
  <c r="E172" i="26"/>
  <c r="G172" i="26"/>
  <c r="C173" i="26"/>
  <c r="E173" i="26"/>
  <c r="G173" i="26"/>
  <c r="C174" i="26"/>
  <c r="E174" i="26"/>
  <c r="G174" i="26"/>
  <c r="C190" i="26"/>
  <c r="E190" i="26"/>
  <c r="G190" i="26"/>
  <c r="C191" i="26"/>
  <c r="E191" i="26"/>
  <c r="G191" i="26"/>
  <c r="C43" i="26"/>
  <c r="E43" i="26"/>
  <c r="G43" i="26"/>
  <c r="C39" i="26"/>
  <c r="E39" i="26"/>
  <c r="G39" i="26"/>
  <c r="C218" i="26"/>
  <c r="E218" i="26"/>
  <c r="G218" i="26"/>
  <c r="D124" i="27" l="1"/>
  <c r="D25" i="20" l="1"/>
  <c r="D221" i="27"/>
  <c r="C5" i="26" l="1"/>
  <c r="C14" i="26" l="1"/>
  <c r="D42" i="20" l="1"/>
  <c r="D184" i="27"/>
  <c r="D92" i="27"/>
  <c r="D16" i="27"/>
  <c r="D17" i="27"/>
  <c r="E11" i="27"/>
  <c r="D11" i="27"/>
  <c r="E10" i="27"/>
  <c r="E9" i="27"/>
  <c r="D9" i="27"/>
  <c r="E8" i="27"/>
  <c r="D8" i="27"/>
  <c r="D24" i="20" l="1"/>
  <c r="D23" i="20"/>
  <c r="D11" i="20"/>
  <c r="H171" i="27"/>
  <c r="E240" i="27" l="1"/>
  <c r="H221" i="27"/>
  <c r="H184" i="27"/>
  <c r="H124" i="27"/>
  <c r="D19" i="27" l="1"/>
  <c r="H19" i="27"/>
  <c r="H18" i="27"/>
  <c r="H17" i="27"/>
  <c r="H16" i="27"/>
  <c r="E87" i="27" l="1"/>
  <c r="E277" i="27"/>
  <c r="E270" i="27"/>
  <c r="E260" i="27"/>
  <c r="E250" i="27"/>
  <c r="D35" i="20" s="1"/>
  <c r="E230" i="27"/>
  <c r="D30" i="20" s="1"/>
  <c r="E211" i="27"/>
  <c r="E190" i="27"/>
  <c r="D22" i="20" s="1"/>
  <c r="E180" i="27"/>
  <c r="D21" i="20" s="1"/>
  <c r="E110" i="27"/>
  <c r="H92" i="27"/>
  <c r="E92" i="27"/>
  <c r="E80" i="27"/>
  <c r="E70" i="27"/>
  <c r="E60" i="27"/>
  <c r="H10" i="27"/>
  <c r="H11" i="27"/>
  <c r="H8" i="27"/>
  <c r="H9" i="27"/>
  <c r="E291" i="27" l="1"/>
  <c r="E213" i="27"/>
  <c r="D4" i="27"/>
  <c r="E4" i="27" s="1"/>
  <c r="D60" i="27"/>
  <c r="D70" i="27"/>
  <c r="D87" i="27"/>
  <c r="D110" i="27"/>
  <c r="D180" i="27"/>
  <c r="C21" i="20" s="1"/>
  <c r="D230" i="27"/>
  <c r="C30" i="20" s="1"/>
  <c r="D240" i="27"/>
  <c r="D250" i="27"/>
  <c r="C35" i="20" s="1"/>
  <c r="D260" i="27"/>
  <c r="D270" i="27"/>
  <c r="E65" i="26" l="1"/>
  <c r="C5" i="20" l="1"/>
  <c r="E5" i="20" s="1"/>
  <c r="A3" i="20"/>
  <c r="A3" i="3"/>
  <c r="C5" i="3"/>
  <c r="E5" i="3" s="1"/>
  <c r="A3" i="1"/>
  <c r="C5" i="1"/>
  <c r="A20" i="19"/>
  <c r="A10" i="19"/>
  <c r="A5" i="19"/>
  <c r="B452" i="5" l="1"/>
  <c r="B451" i="5"/>
  <c r="D5" i="1"/>
  <c r="B253" i="5"/>
  <c r="B241" i="5"/>
  <c r="E5" i="1"/>
  <c r="D5" i="3"/>
  <c r="D5" i="20"/>
  <c r="K1227" i="26"/>
  <c r="G1227" i="26"/>
  <c r="E1227" i="26"/>
  <c r="C1227" i="26"/>
  <c r="K1262" i="26"/>
  <c r="G1262" i="26"/>
  <c r="E1262" i="26"/>
  <c r="C1262" i="26"/>
  <c r="K1186" i="26"/>
  <c r="G1186" i="26"/>
  <c r="E1186" i="26"/>
  <c r="C1186" i="26"/>
  <c r="K1185" i="26"/>
  <c r="G1185" i="26"/>
  <c r="E1185" i="26"/>
  <c r="C1185" i="26"/>
  <c r="K1120" i="26"/>
  <c r="G1120" i="26"/>
  <c r="E1120" i="26"/>
  <c r="C1120" i="26"/>
  <c r="K1119" i="26"/>
  <c r="G1119" i="26"/>
  <c r="E1119" i="26"/>
  <c r="C1119" i="26"/>
  <c r="K718" i="26"/>
  <c r="G718" i="26"/>
  <c r="E718" i="26"/>
  <c r="C718" i="26"/>
  <c r="K605" i="26"/>
  <c r="G605" i="26"/>
  <c r="E605" i="26"/>
  <c r="C605" i="26"/>
  <c r="K597" i="26"/>
  <c r="G597" i="26"/>
  <c r="E597" i="26"/>
  <c r="C597" i="26"/>
  <c r="K704" i="26"/>
  <c r="G704" i="26"/>
  <c r="E704" i="26"/>
  <c r="C704" i="26"/>
  <c r="K465" i="26"/>
  <c r="G465" i="26"/>
  <c r="E465" i="26"/>
  <c r="C465" i="26"/>
  <c r="K454" i="26"/>
  <c r="G454" i="26"/>
  <c r="E454" i="26"/>
  <c r="C454" i="26"/>
  <c r="K994" i="26"/>
  <c r="G994" i="26"/>
  <c r="E994" i="26"/>
  <c r="C994" i="26"/>
  <c r="K884" i="26"/>
  <c r="G884" i="26"/>
  <c r="E884" i="26"/>
  <c r="C884" i="26"/>
  <c r="K452" i="26"/>
  <c r="G452" i="26"/>
  <c r="E452" i="26"/>
  <c r="C452" i="26"/>
  <c r="K451" i="26"/>
  <c r="G451" i="26"/>
  <c r="E451" i="26"/>
  <c r="C451" i="26"/>
  <c r="K450" i="26"/>
  <c r="G450" i="26"/>
  <c r="E450" i="26"/>
  <c r="C450" i="26"/>
  <c r="K449" i="26"/>
  <c r="G449" i="26"/>
  <c r="E449" i="26"/>
  <c r="C449" i="26"/>
  <c r="K448" i="26"/>
  <c r="G448" i="26"/>
  <c r="E448" i="26"/>
  <c r="C448" i="26"/>
  <c r="K881" i="26"/>
  <c r="G881" i="26"/>
  <c r="E881" i="26"/>
  <c r="C881" i="26"/>
  <c r="K915" i="26"/>
  <c r="G915" i="26"/>
  <c r="E915" i="26"/>
  <c r="C915" i="26"/>
  <c r="K250" i="26"/>
  <c r="G250" i="26"/>
  <c r="E250" i="26"/>
  <c r="C250" i="26"/>
  <c r="K233" i="26"/>
  <c r="G233" i="26"/>
  <c r="E233" i="26"/>
  <c r="C233" i="26"/>
  <c r="K232" i="26"/>
  <c r="G232" i="26"/>
  <c r="E232" i="26"/>
  <c r="C232" i="26"/>
  <c r="K231" i="26"/>
  <c r="G231" i="26"/>
  <c r="E231" i="26"/>
  <c r="C231" i="26"/>
  <c r="K230" i="26"/>
  <c r="G230" i="26"/>
  <c r="E230" i="26"/>
  <c r="C230" i="26"/>
  <c r="K737" i="26"/>
  <c r="G737" i="26"/>
  <c r="E737" i="26"/>
  <c r="C737" i="26"/>
  <c r="K447" i="26"/>
  <c r="G447" i="26"/>
  <c r="E447" i="26"/>
  <c r="C447" i="26"/>
  <c r="K914" i="26" l="1"/>
  <c r="G914" i="26"/>
  <c r="E914" i="26"/>
  <c r="C914" i="26"/>
  <c r="K695" i="26"/>
  <c r="G695" i="26"/>
  <c r="E695" i="26"/>
  <c r="C695" i="26"/>
  <c r="K200" i="26"/>
  <c r="G200" i="26"/>
  <c r="E200" i="26"/>
  <c r="C200" i="26"/>
  <c r="K694" i="26"/>
  <c r="G694" i="26"/>
  <c r="E694" i="26"/>
  <c r="C694" i="26"/>
  <c r="K693" i="26"/>
  <c r="G693" i="26"/>
  <c r="E693" i="26"/>
  <c r="C693" i="26"/>
  <c r="K692" i="26"/>
  <c r="G692" i="26"/>
  <c r="E692" i="26"/>
  <c r="C692" i="26"/>
  <c r="K691" i="26"/>
  <c r="G691" i="26"/>
  <c r="E691" i="26"/>
  <c r="C691" i="26"/>
  <c r="C690" i="26"/>
  <c r="K446" i="26"/>
  <c r="G446" i="26"/>
  <c r="E446" i="26"/>
  <c r="C446" i="26"/>
  <c r="K445" i="26"/>
  <c r="G445" i="26"/>
  <c r="E445" i="26"/>
  <c r="C445" i="26"/>
  <c r="K444" i="26"/>
  <c r="G444" i="26"/>
  <c r="E444" i="26"/>
  <c r="C444" i="26"/>
  <c r="K443" i="26"/>
  <c r="G443" i="26"/>
  <c r="E443" i="26"/>
  <c r="C443" i="26"/>
  <c r="K442" i="26"/>
  <c r="G442" i="26"/>
  <c r="E442" i="26"/>
  <c r="C442" i="26"/>
  <c r="K662" i="26"/>
  <c r="G662" i="26"/>
  <c r="E662" i="26"/>
  <c r="C662" i="26"/>
  <c r="K502" i="26"/>
  <c r="G502" i="26"/>
  <c r="E502" i="26"/>
  <c r="C502" i="26"/>
  <c r="K501" i="26"/>
  <c r="G501" i="26"/>
  <c r="E501" i="26"/>
  <c r="C501" i="26"/>
  <c r="K500" i="26"/>
  <c r="G500" i="26"/>
  <c r="E500" i="26"/>
  <c r="C500" i="26"/>
  <c r="K499" i="26"/>
  <c r="G499" i="26"/>
  <c r="E499" i="26"/>
  <c r="C499" i="26"/>
  <c r="K498" i="26"/>
  <c r="G498" i="26"/>
  <c r="E498" i="26"/>
  <c r="C498" i="26"/>
  <c r="K497" i="26"/>
  <c r="G497" i="26"/>
  <c r="E497" i="26"/>
  <c r="C497" i="26"/>
  <c r="K496" i="26"/>
  <c r="G496" i="26"/>
  <c r="E496" i="26"/>
  <c r="C496" i="26"/>
  <c r="K495" i="26"/>
  <c r="G495" i="26"/>
  <c r="E495" i="26"/>
  <c r="C495" i="26"/>
  <c r="K494" i="26"/>
  <c r="G494" i="26"/>
  <c r="E494" i="26"/>
  <c r="C494" i="26"/>
  <c r="K492" i="26"/>
  <c r="G492" i="26"/>
  <c r="E492" i="26"/>
  <c r="C492" i="26"/>
  <c r="K491" i="26"/>
  <c r="G491" i="26"/>
  <c r="E491" i="26"/>
  <c r="C491" i="26"/>
  <c r="K490" i="26"/>
  <c r="G490" i="26"/>
  <c r="E490" i="26"/>
  <c r="C490" i="26"/>
  <c r="K50" i="26"/>
  <c r="G50" i="26"/>
  <c r="H50" i="26" s="1"/>
  <c r="E50" i="26"/>
  <c r="F50" i="26" s="1"/>
  <c r="C50" i="26"/>
  <c r="D50" i="26" s="1"/>
  <c r="C14" i="1" s="1"/>
  <c r="K37" i="26"/>
  <c r="G37" i="26"/>
  <c r="E37" i="26"/>
  <c r="C37" i="26"/>
  <c r="K36" i="26"/>
  <c r="G36" i="26"/>
  <c r="E36" i="26"/>
  <c r="C36" i="26"/>
  <c r="K1287" i="26"/>
  <c r="G1287" i="26"/>
  <c r="H1287" i="26" s="1"/>
  <c r="E1287" i="26"/>
  <c r="C1287" i="26"/>
  <c r="D1287" i="26" s="1"/>
  <c r="G1277" i="26"/>
  <c r="F1287" i="26" l="1"/>
  <c r="D33" i="27"/>
  <c r="E14" i="1"/>
  <c r="D14" i="1"/>
  <c r="E33" i="27" s="1"/>
  <c r="G151" i="5"/>
  <c r="K1290" i="26" l="1"/>
  <c r="G1290" i="26"/>
  <c r="H1290" i="26" s="1"/>
  <c r="E14" i="4" s="1"/>
  <c r="E1290" i="26"/>
  <c r="F1290" i="26" s="1"/>
  <c r="D14" i="4" s="1"/>
  <c r="C1290" i="26"/>
  <c r="D1290" i="26" s="1"/>
  <c r="C14" i="4" s="1"/>
  <c r="C35" i="26"/>
  <c r="E35" i="26"/>
  <c r="G35" i="26"/>
  <c r="K35" i="26"/>
  <c r="G56" i="26" l="1"/>
  <c r="E56" i="26"/>
  <c r="C56" i="26"/>
  <c r="E363" i="26" l="1"/>
  <c r="E300" i="26"/>
  <c r="K1097" i="26" l="1"/>
  <c r="G1097" i="26"/>
  <c r="E1097" i="26"/>
  <c r="C1097" i="26"/>
  <c r="K1121" i="26"/>
  <c r="G1121" i="26"/>
  <c r="E1121" i="26"/>
  <c r="C1121" i="26"/>
  <c r="K1118" i="26"/>
  <c r="G1118" i="26"/>
  <c r="E1118" i="26"/>
  <c r="C1118" i="26"/>
  <c r="K1117" i="26"/>
  <c r="G1117" i="26"/>
  <c r="E1117" i="26"/>
  <c r="C1117" i="26"/>
  <c r="K1116" i="26"/>
  <c r="G1116" i="26"/>
  <c r="E1116" i="26"/>
  <c r="C1116" i="26"/>
  <c r="K1115" i="26"/>
  <c r="G1115" i="26"/>
  <c r="E1115" i="26"/>
  <c r="C1115" i="26"/>
  <c r="K1114" i="26"/>
  <c r="G1114" i="26"/>
  <c r="E1114" i="26"/>
  <c r="C1114" i="26"/>
  <c r="K1112" i="26"/>
  <c r="G1112" i="26"/>
  <c r="E1112" i="26"/>
  <c r="C1112" i="26"/>
  <c r="K1111" i="26"/>
  <c r="G1111" i="26"/>
  <c r="E1111" i="26"/>
  <c r="C1111" i="26"/>
  <c r="K1109" i="26"/>
  <c r="G1109" i="26"/>
  <c r="E1109" i="26"/>
  <c r="C1109" i="26"/>
  <c r="K1108" i="26"/>
  <c r="G1108" i="26"/>
  <c r="E1108" i="26"/>
  <c r="C1108" i="26"/>
  <c r="K1107" i="26"/>
  <c r="G1107" i="26"/>
  <c r="E1107" i="26"/>
  <c r="C1107" i="26"/>
  <c r="K1106" i="26"/>
  <c r="G1106" i="26"/>
  <c r="E1106" i="26"/>
  <c r="C1106" i="26"/>
  <c r="K1105" i="26"/>
  <c r="G1105" i="26"/>
  <c r="E1105" i="26"/>
  <c r="C1105" i="26"/>
  <c r="K1103" i="26"/>
  <c r="G1103" i="26"/>
  <c r="E1103" i="26"/>
  <c r="C1103" i="26"/>
  <c r="C1126" i="26"/>
  <c r="E1126" i="26"/>
  <c r="G1126" i="26"/>
  <c r="C482" i="26"/>
  <c r="E482" i="26"/>
  <c r="G482" i="26"/>
  <c r="K482" i="26"/>
  <c r="C974" i="26"/>
  <c r="E974" i="26"/>
  <c r="G974" i="26"/>
  <c r="K974" i="26"/>
  <c r="C949" i="26"/>
  <c r="E949" i="26"/>
  <c r="G949" i="26"/>
  <c r="K949" i="26"/>
  <c r="C947" i="26"/>
  <c r="E947" i="26"/>
  <c r="G947" i="26"/>
  <c r="K947" i="26"/>
  <c r="C941" i="26"/>
  <c r="E941" i="26"/>
  <c r="G941" i="26"/>
  <c r="K941" i="26"/>
  <c r="C1050" i="26"/>
  <c r="E1050" i="26"/>
  <c r="G1050" i="26"/>
  <c r="K1050" i="26"/>
  <c r="C493" i="26"/>
  <c r="E493" i="26"/>
  <c r="G493" i="26"/>
  <c r="K493" i="26"/>
  <c r="C484" i="26"/>
  <c r="E484" i="26"/>
  <c r="G484" i="26"/>
  <c r="K484" i="26"/>
  <c r="C733" i="26"/>
  <c r="E733" i="26"/>
  <c r="G733" i="26"/>
  <c r="K733" i="26"/>
  <c r="C479" i="26"/>
  <c r="E479" i="26"/>
  <c r="G479" i="26"/>
  <c r="K479" i="26"/>
  <c r="C480" i="26"/>
  <c r="E480" i="26"/>
  <c r="G480" i="26"/>
  <c r="K480" i="26"/>
  <c r="C481" i="26"/>
  <c r="E481" i="26"/>
  <c r="G481" i="26"/>
  <c r="K481" i="26"/>
  <c r="C483" i="26"/>
  <c r="E483" i="26"/>
  <c r="G483" i="26"/>
  <c r="K483" i="26"/>
  <c r="C822" i="26"/>
  <c r="E822" i="26"/>
  <c r="G822" i="26"/>
  <c r="K822" i="26"/>
  <c r="C430" i="26"/>
  <c r="E430" i="26"/>
  <c r="G430" i="26"/>
  <c r="K430" i="26"/>
  <c r="C425" i="26"/>
  <c r="E425" i="26"/>
  <c r="G425" i="26"/>
  <c r="K425" i="26"/>
  <c r="C426" i="26"/>
  <c r="E426" i="26"/>
  <c r="G426" i="26"/>
  <c r="K426" i="26"/>
  <c r="C427" i="26"/>
  <c r="E427" i="26"/>
  <c r="G427" i="26"/>
  <c r="K427" i="26"/>
  <c r="C428" i="26"/>
  <c r="E428" i="26"/>
  <c r="G428" i="26"/>
  <c r="K428" i="26"/>
  <c r="C424" i="26"/>
  <c r="E424" i="26"/>
  <c r="G424" i="26"/>
  <c r="K424" i="26"/>
  <c r="C1201" i="26"/>
  <c r="E1201" i="26"/>
  <c r="G1201" i="26"/>
  <c r="K1201" i="26"/>
  <c r="K288" i="26" l="1"/>
  <c r="G288" i="26"/>
  <c r="E288" i="26"/>
  <c r="C288" i="26"/>
  <c r="C1187" i="26" l="1"/>
  <c r="G1187" i="26"/>
  <c r="E1187" i="26"/>
  <c r="E520" i="26" l="1"/>
  <c r="E518" i="26"/>
  <c r="E434" i="26"/>
  <c r="E36" i="20" l="1"/>
  <c r="D36" i="20"/>
  <c r="E27" i="20"/>
  <c r="D27" i="20"/>
  <c r="E18" i="20" l="1"/>
  <c r="E38" i="20" s="1"/>
  <c r="E1193" i="26"/>
  <c r="E1171" i="26" l="1"/>
  <c r="E1172" i="26"/>
  <c r="E1173" i="26"/>
  <c r="E1174" i="26"/>
  <c r="E1175" i="26"/>
  <c r="E1176" i="26"/>
  <c r="E1177" i="26"/>
  <c r="E1178" i="26"/>
  <c r="E1179" i="26"/>
  <c r="E1180" i="26"/>
  <c r="E1181" i="26"/>
  <c r="C25" i="3" s="1"/>
  <c r="D272" i="27" s="1"/>
  <c r="E1182" i="26"/>
  <c r="E1183" i="26"/>
  <c r="E1184" i="26"/>
  <c r="E1188" i="26"/>
  <c r="E1189" i="26"/>
  <c r="E1170" i="26"/>
  <c r="E1166" i="26"/>
  <c r="F1166" i="26" s="1"/>
  <c r="G271" i="5" s="1"/>
  <c r="E1165" i="26"/>
  <c r="F1165" i="26" s="1"/>
  <c r="E1164" i="26"/>
  <c r="F1164" i="26" s="1"/>
  <c r="G269" i="5" s="1"/>
  <c r="E1161" i="26"/>
  <c r="F1161" i="26" s="1"/>
  <c r="E1163" i="26"/>
  <c r="F1163" i="26" s="1"/>
  <c r="G272" i="5" s="1"/>
  <c r="C34" i="20" l="1"/>
  <c r="C36" i="20" s="1"/>
  <c r="D277" i="27"/>
  <c r="D291" i="27"/>
  <c r="F1189" i="26"/>
  <c r="G292" i="5" s="1"/>
  <c r="G279" i="5"/>
  <c r="G268" i="5"/>
  <c r="G277" i="5" s="1"/>
  <c r="E1273" i="26"/>
  <c r="G320" i="5" s="1"/>
  <c r="C1277" i="26"/>
  <c r="D1277" i="26" s="1"/>
  <c r="F322" i="5" s="1"/>
  <c r="K1284" i="26"/>
  <c r="G1284" i="26"/>
  <c r="E1284" i="26"/>
  <c r="G321" i="5" s="1"/>
  <c r="G327" i="5" s="1"/>
  <c r="C1284" i="26"/>
  <c r="K1282" i="26"/>
  <c r="G1282" i="26"/>
  <c r="E1282" i="26"/>
  <c r="C1282" i="26"/>
  <c r="K1281" i="26"/>
  <c r="G1281" i="26"/>
  <c r="E1281" i="26"/>
  <c r="C1281" i="26"/>
  <c r="K1277" i="26"/>
  <c r="H1277" i="26"/>
  <c r="H322" i="5" s="1"/>
  <c r="E1277" i="26"/>
  <c r="K1273" i="26"/>
  <c r="G1273" i="26"/>
  <c r="C1273" i="26"/>
  <c r="K1271" i="26"/>
  <c r="G1271" i="26"/>
  <c r="E1271" i="26"/>
  <c r="C1271" i="26"/>
  <c r="K1270" i="26"/>
  <c r="G1270" i="26"/>
  <c r="E1270" i="26"/>
  <c r="C1270" i="26"/>
  <c r="G326" i="5" l="1"/>
  <c r="F1277" i="26"/>
  <c r="G322" i="5"/>
  <c r="D1273" i="26"/>
  <c r="F320" i="5" s="1"/>
  <c r="F326" i="5" s="1"/>
  <c r="D1284" i="26"/>
  <c r="F321" i="5" s="1"/>
  <c r="F327" i="5" s="1"/>
  <c r="C37" i="3" s="1"/>
  <c r="F1284" i="26"/>
  <c r="H1273" i="26"/>
  <c r="H320" i="5" s="1"/>
  <c r="H326" i="5" s="1"/>
  <c r="H1284" i="26"/>
  <c r="H321" i="5" s="1"/>
  <c r="H327" i="5" s="1"/>
  <c r="E37" i="3" s="1"/>
  <c r="F1273" i="26"/>
  <c r="H328" i="5" l="1"/>
  <c r="E24" i="3"/>
  <c r="G328" i="5"/>
  <c r="D24" i="3"/>
  <c r="F328" i="5"/>
  <c r="C24" i="3"/>
  <c r="D37" i="3"/>
  <c r="G959" i="26" l="1"/>
  <c r="E959" i="26"/>
  <c r="G721" i="26" l="1"/>
  <c r="E721" i="26"/>
  <c r="C721" i="26"/>
  <c r="C774" i="26"/>
  <c r="E774" i="26"/>
  <c r="G774" i="26"/>
  <c r="K774" i="26"/>
  <c r="K1027" i="26"/>
  <c r="G1027" i="26"/>
  <c r="E1027" i="26"/>
  <c r="C1027" i="26"/>
  <c r="K885" i="26"/>
  <c r="G885" i="26"/>
  <c r="E885" i="26"/>
  <c r="C885" i="26"/>
  <c r="K840" i="26"/>
  <c r="G840" i="26"/>
  <c r="E840" i="26"/>
  <c r="C840" i="26"/>
  <c r="G434" i="26"/>
  <c r="G435" i="26"/>
  <c r="G431" i="26"/>
  <c r="E435" i="26"/>
  <c r="E431" i="26"/>
  <c r="C434" i="26"/>
  <c r="C435" i="26"/>
  <c r="C431" i="26"/>
  <c r="K435" i="26"/>
  <c r="C33" i="3" l="1"/>
  <c r="G1060" i="26" l="1"/>
  <c r="H1060" i="26" s="1"/>
  <c r="E1060" i="26"/>
  <c r="F1060" i="26" l="1"/>
  <c r="D13" i="1" s="1"/>
  <c r="C4" i="26"/>
  <c r="E4" i="26"/>
  <c r="G4" i="26"/>
  <c r="K4" i="26"/>
  <c r="E14" i="26"/>
  <c r="G14" i="26"/>
  <c r="K14" i="26"/>
  <c r="E5" i="26"/>
  <c r="G5" i="26"/>
  <c r="K5" i="26"/>
  <c r="K6" i="26"/>
  <c r="C7" i="26"/>
  <c r="D7" i="26" s="1"/>
  <c r="F8" i="5" s="1"/>
  <c r="E7" i="26"/>
  <c r="F7" i="26" s="1"/>
  <c r="G7" i="26"/>
  <c r="H7" i="26" s="1"/>
  <c r="K7" i="26"/>
  <c r="K8" i="26"/>
  <c r="C9" i="26"/>
  <c r="E9" i="26"/>
  <c r="G9" i="26"/>
  <c r="K9" i="26"/>
  <c r="C10" i="26"/>
  <c r="E10" i="26"/>
  <c r="G10" i="26"/>
  <c r="K10" i="26"/>
  <c r="K11" i="26"/>
  <c r="C12" i="26"/>
  <c r="D12" i="26" s="1"/>
  <c r="F10" i="5" s="1"/>
  <c r="E12" i="26"/>
  <c r="F12" i="26" s="1"/>
  <c r="G12" i="26"/>
  <c r="H12" i="26" s="1"/>
  <c r="K12" i="26"/>
  <c r="K13" i="26"/>
  <c r="C16" i="26"/>
  <c r="D16" i="26" s="1"/>
  <c r="E16" i="26"/>
  <c r="G16" i="26"/>
  <c r="K16" i="26"/>
  <c r="K17" i="26"/>
  <c r="C18" i="26"/>
  <c r="E18" i="26"/>
  <c r="G18" i="26"/>
  <c r="K18" i="26"/>
  <c r="C19" i="26"/>
  <c r="E19" i="26"/>
  <c r="G19" i="26"/>
  <c r="K19" i="26"/>
  <c r="C20" i="26"/>
  <c r="E20" i="26"/>
  <c r="G20" i="26"/>
  <c r="K20" i="26"/>
  <c r="C21" i="26"/>
  <c r="E21" i="26"/>
  <c r="G21" i="26"/>
  <c r="K21" i="26"/>
  <c r="C22" i="26"/>
  <c r="E22" i="26"/>
  <c r="G22" i="26"/>
  <c r="K22" i="26"/>
  <c r="K23" i="26"/>
  <c r="C24" i="26"/>
  <c r="D24" i="26" s="1"/>
  <c r="F13" i="5" s="1"/>
  <c r="E24" i="26"/>
  <c r="F24" i="26" s="1"/>
  <c r="G24" i="26"/>
  <c r="H24" i="26" s="1"/>
  <c r="K24" i="26"/>
  <c r="K25" i="26"/>
  <c r="C26" i="26"/>
  <c r="D26" i="26" s="1"/>
  <c r="F14" i="5" s="1"/>
  <c r="E26" i="26"/>
  <c r="F26" i="26" s="1"/>
  <c r="G26" i="26"/>
  <c r="H26" i="26" s="1"/>
  <c r="K26" i="26"/>
  <c r="K27" i="26"/>
  <c r="C28" i="26"/>
  <c r="D28" i="26" s="1"/>
  <c r="E28" i="26"/>
  <c r="F28" i="26" s="1"/>
  <c r="G28" i="26"/>
  <c r="H28" i="26" s="1"/>
  <c r="K28" i="26"/>
  <c r="K29" i="26"/>
  <c r="C30" i="26"/>
  <c r="D30" i="26" s="1"/>
  <c r="F16" i="5" s="1"/>
  <c r="E30" i="26"/>
  <c r="G30" i="26"/>
  <c r="K30" i="26"/>
  <c r="K31" i="26"/>
  <c r="C32" i="26"/>
  <c r="E32" i="26"/>
  <c r="G32" i="26"/>
  <c r="K32" i="26"/>
  <c r="C33" i="26"/>
  <c r="E33" i="26"/>
  <c r="G33" i="26"/>
  <c r="K33" i="26"/>
  <c r="C34" i="26"/>
  <c r="E34" i="26"/>
  <c r="G34" i="26"/>
  <c r="K34" i="26"/>
  <c r="C38" i="26"/>
  <c r="E38" i="26"/>
  <c r="G38" i="26"/>
  <c r="K38" i="26"/>
  <c r="C42" i="26"/>
  <c r="E42" i="26"/>
  <c r="G42" i="26"/>
  <c r="K42" i="26"/>
  <c r="C44" i="26"/>
  <c r="E44" i="26"/>
  <c r="G44" i="26"/>
  <c r="K44" i="26"/>
  <c r="C45" i="26"/>
  <c r="E45" i="26"/>
  <c r="G45" i="26"/>
  <c r="K45" i="26"/>
  <c r="K51" i="26"/>
  <c r="K52" i="26"/>
  <c r="K53" i="26"/>
  <c r="C54" i="26"/>
  <c r="E54" i="26"/>
  <c r="G54" i="26"/>
  <c r="K54" i="26"/>
  <c r="C55" i="26"/>
  <c r="E55" i="26"/>
  <c r="G55" i="26"/>
  <c r="K55" i="26"/>
  <c r="C57" i="26"/>
  <c r="E57" i="26"/>
  <c r="G57" i="26"/>
  <c r="K57" i="26"/>
  <c r="K58" i="26"/>
  <c r="C59" i="26"/>
  <c r="E59" i="26"/>
  <c r="G59" i="26"/>
  <c r="K59" i="26"/>
  <c r="C60" i="26"/>
  <c r="E60" i="26"/>
  <c r="G60" i="26"/>
  <c r="K60" i="26"/>
  <c r="C61" i="26"/>
  <c r="E61" i="26"/>
  <c r="G61" i="26"/>
  <c r="K61" i="26"/>
  <c r="C62" i="26"/>
  <c r="E62" i="26"/>
  <c r="G62" i="26"/>
  <c r="K62" i="26"/>
  <c r="C63" i="26"/>
  <c r="E63" i="26"/>
  <c r="G63" i="26"/>
  <c r="K63" i="26"/>
  <c r="K64" i="26"/>
  <c r="C65" i="26"/>
  <c r="D66" i="26" s="1"/>
  <c r="G65" i="26"/>
  <c r="K65" i="26"/>
  <c r="C66" i="26"/>
  <c r="E66" i="26"/>
  <c r="G66" i="26"/>
  <c r="K66" i="26"/>
  <c r="C959" i="26"/>
  <c r="K959" i="26"/>
  <c r="K68" i="26"/>
  <c r="C69" i="26"/>
  <c r="E69" i="26"/>
  <c r="G69" i="26"/>
  <c r="K69" i="26"/>
  <c r="C70" i="26"/>
  <c r="E70" i="26"/>
  <c r="G70" i="26"/>
  <c r="K70" i="26"/>
  <c r="C71" i="26"/>
  <c r="E71" i="26"/>
  <c r="G71" i="26"/>
  <c r="K71" i="26"/>
  <c r="C72" i="26"/>
  <c r="E72" i="26"/>
  <c r="G72" i="26"/>
  <c r="K72" i="26"/>
  <c r="C73" i="26"/>
  <c r="E73" i="26"/>
  <c r="G73" i="26"/>
  <c r="K73" i="26"/>
  <c r="C74" i="26"/>
  <c r="E74" i="26"/>
  <c r="G74" i="26"/>
  <c r="K74" i="26"/>
  <c r="C75" i="26"/>
  <c r="E75" i="26"/>
  <c r="G75" i="26"/>
  <c r="K75" i="26"/>
  <c r="C76" i="26"/>
  <c r="E76" i="26"/>
  <c r="G76" i="26"/>
  <c r="K76" i="26"/>
  <c r="C77" i="26"/>
  <c r="E77" i="26"/>
  <c r="G77" i="26"/>
  <c r="K77" i="26"/>
  <c r="C78" i="26"/>
  <c r="E78" i="26"/>
  <c r="G78" i="26"/>
  <c r="K78" i="26"/>
  <c r="C79" i="26"/>
  <c r="E79" i="26"/>
  <c r="G79" i="26"/>
  <c r="K79" i="26"/>
  <c r="K80" i="26"/>
  <c r="C81" i="26"/>
  <c r="D81" i="26" s="1"/>
  <c r="E81" i="26"/>
  <c r="F81" i="26" s="1"/>
  <c r="G81" i="26"/>
  <c r="H81" i="26" s="1"/>
  <c r="K81" i="26"/>
  <c r="K82" i="26"/>
  <c r="C83" i="26"/>
  <c r="E83" i="26"/>
  <c r="G83" i="26"/>
  <c r="K83" i="26"/>
  <c r="C84" i="26"/>
  <c r="E84" i="26"/>
  <c r="G84" i="26"/>
  <c r="K84" i="26"/>
  <c r="C85" i="26"/>
  <c r="E85" i="26"/>
  <c r="G85" i="26"/>
  <c r="K85" i="26"/>
  <c r="C86" i="26"/>
  <c r="E86" i="26"/>
  <c r="G86" i="26"/>
  <c r="K86" i="26"/>
  <c r="C87" i="26"/>
  <c r="E87" i="26"/>
  <c r="G87" i="26"/>
  <c r="K87" i="26"/>
  <c r="C88" i="26"/>
  <c r="E88" i="26"/>
  <c r="G88" i="26"/>
  <c r="K88" i="26"/>
  <c r="C89" i="26"/>
  <c r="E89" i="26"/>
  <c r="G89" i="26"/>
  <c r="K89" i="26"/>
  <c r="C90" i="26"/>
  <c r="E90" i="26"/>
  <c r="G90" i="26"/>
  <c r="K90" i="26"/>
  <c r="C91" i="26"/>
  <c r="E91" i="26"/>
  <c r="G91" i="26"/>
  <c r="K91" i="26"/>
  <c r="C92" i="26"/>
  <c r="E92" i="26"/>
  <c r="G92" i="26"/>
  <c r="K92" i="26"/>
  <c r="C93" i="26"/>
  <c r="E93" i="26"/>
  <c r="G93" i="26"/>
  <c r="K93" i="26"/>
  <c r="C94" i="26"/>
  <c r="E94" i="26"/>
  <c r="G94" i="26"/>
  <c r="K94" i="26"/>
  <c r="C95" i="26"/>
  <c r="E95" i="26"/>
  <c r="G95" i="26"/>
  <c r="K95" i="26"/>
  <c r="C96" i="26"/>
  <c r="E96" i="26"/>
  <c r="G96" i="26"/>
  <c r="K96" i="26"/>
  <c r="C98" i="26"/>
  <c r="E98" i="26"/>
  <c r="G98" i="26"/>
  <c r="K98" i="26"/>
  <c r="C99" i="26"/>
  <c r="E99" i="26"/>
  <c r="G99" i="26"/>
  <c r="K99" i="26"/>
  <c r="C100" i="26"/>
  <c r="E100" i="26"/>
  <c r="G100" i="26"/>
  <c r="K100" i="26"/>
  <c r="C101" i="26"/>
  <c r="E101" i="26"/>
  <c r="G101" i="26"/>
  <c r="K101" i="26"/>
  <c r="C102" i="26"/>
  <c r="E102" i="26"/>
  <c r="G102" i="26"/>
  <c r="K102" i="26"/>
  <c r="C103" i="26"/>
  <c r="E103" i="26"/>
  <c r="G103" i="26"/>
  <c r="K103" i="26"/>
  <c r="C104" i="26"/>
  <c r="E104" i="26"/>
  <c r="G104" i="26"/>
  <c r="K104" i="26"/>
  <c r="C105" i="26"/>
  <c r="E105" i="26"/>
  <c r="G105" i="26"/>
  <c r="K105" i="26"/>
  <c r="C106" i="26"/>
  <c r="E106" i="26"/>
  <c r="G106" i="26"/>
  <c r="K106" i="26"/>
  <c r="K107" i="26"/>
  <c r="C108" i="26"/>
  <c r="E108" i="26"/>
  <c r="G108" i="26"/>
  <c r="K108" i="26"/>
  <c r="C109" i="26"/>
  <c r="E109" i="26"/>
  <c r="G109" i="26"/>
  <c r="K109" i="26"/>
  <c r="C110" i="26"/>
  <c r="E110" i="26"/>
  <c r="G110" i="26"/>
  <c r="K110" i="26"/>
  <c r="C111" i="26"/>
  <c r="E111" i="26"/>
  <c r="G111" i="26"/>
  <c r="K111" i="26"/>
  <c r="C112" i="26"/>
  <c r="E112" i="26"/>
  <c r="G112" i="26"/>
  <c r="K112" i="26"/>
  <c r="C113" i="26"/>
  <c r="E113" i="26"/>
  <c r="G113" i="26"/>
  <c r="K113" i="26"/>
  <c r="C114" i="26"/>
  <c r="E114" i="26"/>
  <c r="G114" i="26"/>
  <c r="K114" i="26"/>
  <c r="C115" i="26"/>
  <c r="E115" i="26"/>
  <c r="G115" i="26"/>
  <c r="K115" i="26"/>
  <c r="C116" i="26"/>
  <c r="E116" i="26"/>
  <c r="G116" i="26"/>
  <c r="K116" i="26"/>
  <c r="C117" i="26"/>
  <c r="E117" i="26"/>
  <c r="G117" i="26"/>
  <c r="K117" i="26"/>
  <c r="C118" i="26"/>
  <c r="E118" i="26"/>
  <c r="G118" i="26"/>
  <c r="K118" i="26"/>
  <c r="C119" i="26"/>
  <c r="E119" i="26"/>
  <c r="G119" i="26"/>
  <c r="K119" i="26"/>
  <c r="C120" i="26"/>
  <c r="E120" i="26"/>
  <c r="G120" i="26"/>
  <c r="K120" i="26"/>
  <c r="C121" i="26"/>
  <c r="E121" i="26"/>
  <c r="G121" i="26"/>
  <c r="K121" i="26"/>
  <c r="C123" i="26"/>
  <c r="E123" i="26"/>
  <c r="G123" i="26"/>
  <c r="K123" i="26"/>
  <c r="C124" i="26"/>
  <c r="E124" i="26"/>
  <c r="G124" i="26"/>
  <c r="K124" i="26"/>
  <c r="C125" i="26"/>
  <c r="E125" i="26"/>
  <c r="G125" i="26"/>
  <c r="K125" i="26"/>
  <c r="C126" i="26"/>
  <c r="E126" i="26"/>
  <c r="G126" i="26"/>
  <c r="K126" i="26"/>
  <c r="C127" i="26"/>
  <c r="E127" i="26"/>
  <c r="G127" i="26"/>
  <c r="K127" i="26"/>
  <c r="C128" i="26"/>
  <c r="E128" i="26"/>
  <c r="G128" i="26"/>
  <c r="K128" i="26"/>
  <c r="C129" i="26"/>
  <c r="E129" i="26"/>
  <c r="G129" i="26"/>
  <c r="K129" i="26"/>
  <c r="C130" i="26"/>
  <c r="E130" i="26"/>
  <c r="G130" i="26"/>
  <c r="K130" i="26"/>
  <c r="C131" i="26"/>
  <c r="E131" i="26"/>
  <c r="G131" i="26"/>
  <c r="K131" i="26"/>
  <c r="K132" i="26"/>
  <c r="C133" i="26"/>
  <c r="E133" i="26"/>
  <c r="F133" i="26" s="1"/>
  <c r="D12" i="1" s="1"/>
  <c r="E122" i="27" s="1"/>
  <c r="E130" i="27" s="1"/>
  <c r="D16" i="20" s="1"/>
  <c r="G133" i="26"/>
  <c r="H133" i="26" s="1"/>
  <c r="E12" i="1" s="1"/>
  <c r="K133" i="26"/>
  <c r="K134" i="26"/>
  <c r="K135" i="26"/>
  <c r="K136" i="26"/>
  <c r="C137" i="26"/>
  <c r="E137" i="26"/>
  <c r="G137" i="26"/>
  <c r="K137" i="26"/>
  <c r="C138" i="26"/>
  <c r="E138" i="26"/>
  <c r="G138" i="26"/>
  <c r="K138" i="26"/>
  <c r="C140" i="26"/>
  <c r="E140" i="26"/>
  <c r="G140" i="26"/>
  <c r="K140" i="26"/>
  <c r="C141" i="26"/>
  <c r="E141" i="26"/>
  <c r="G141" i="26"/>
  <c r="K141" i="26"/>
  <c r="C143" i="26"/>
  <c r="E143" i="26"/>
  <c r="G143" i="26"/>
  <c r="K143" i="26"/>
  <c r="C144" i="26"/>
  <c r="E144" i="26"/>
  <c r="G144" i="26"/>
  <c r="K144" i="26"/>
  <c r="C145" i="26"/>
  <c r="E145" i="26"/>
  <c r="G145" i="26"/>
  <c r="K145" i="26"/>
  <c r="C146" i="26"/>
  <c r="E146" i="26"/>
  <c r="G146" i="26"/>
  <c r="K146" i="26"/>
  <c r="C147" i="26"/>
  <c r="E147" i="26"/>
  <c r="G147" i="26"/>
  <c r="K147" i="26"/>
  <c r="C148" i="26"/>
  <c r="E148" i="26"/>
  <c r="G148" i="26"/>
  <c r="K148" i="26"/>
  <c r="C149" i="26"/>
  <c r="E149" i="26"/>
  <c r="G149" i="26"/>
  <c r="K149" i="26"/>
  <c r="C150" i="26"/>
  <c r="E150" i="26"/>
  <c r="G150" i="26"/>
  <c r="K150" i="26"/>
  <c r="C151" i="26"/>
  <c r="E151" i="26"/>
  <c r="G151" i="26"/>
  <c r="K151" i="26"/>
  <c r="C152" i="26"/>
  <c r="E152" i="26"/>
  <c r="G152" i="26"/>
  <c r="K152" i="26"/>
  <c r="C153" i="26"/>
  <c r="E153" i="26"/>
  <c r="G153" i="26"/>
  <c r="K153" i="26"/>
  <c r="C154" i="26"/>
  <c r="E154" i="26"/>
  <c r="G154" i="26"/>
  <c r="K154" i="26"/>
  <c r="C155" i="26"/>
  <c r="E155" i="26"/>
  <c r="G155" i="26"/>
  <c r="K155" i="26"/>
  <c r="C156" i="26"/>
  <c r="E156" i="26"/>
  <c r="G156" i="26"/>
  <c r="K156" i="26"/>
  <c r="C157" i="26"/>
  <c r="E157" i="26"/>
  <c r="G157" i="26"/>
  <c r="K157" i="26"/>
  <c r="C158" i="26"/>
  <c r="E158" i="26"/>
  <c r="G158" i="26"/>
  <c r="K158" i="26"/>
  <c r="C159" i="26"/>
  <c r="E159" i="26"/>
  <c r="G159" i="26"/>
  <c r="K159" i="26"/>
  <c r="C160" i="26"/>
  <c r="E160" i="26"/>
  <c r="G160" i="26"/>
  <c r="K160" i="26"/>
  <c r="C161" i="26"/>
  <c r="E161" i="26"/>
  <c r="G161" i="26"/>
  <c r="K161" i="26"/>
  <c r="C162" i="26"/>
  <c r="E162" i="26"/>
  <c r="G162" i="26"/>
  <c r="K162" i="26"/>
  <c r="C163" i="26"/>
  <c r="E163" i="26"/>
  <c r="G163" i="26"/>
  <c r="K163" i="26"/>
  <c r="C164" i="26"/>
  <c r="E164" i="26"/>
  <c r="G164" i="26"/>
  <c r="K164" i="26"/>
  <c r="C165" i="26"/>
  <c r="E165" i="26"/>
  <c r="G165" i="26"/>
  <c r="K165" i="26"/>
  <c r="C166" i="26"/>
  <c r="E166" i="26"/>
  <c r="G166" i="26"/>
  <c r="K166" i="26"/>
  <c r="C175" i="26"/>
  <c r="E175" i="26"/>
  <c r="G175" i="26"/>
  <c r="C181" i="26"/>
  <c r="E181" i="26"/>
  <c r="G181" i="26"/>
  <c r="K181" i="26"/>
  <c r="K182" i="26"/>
  <c r="K183" i="26"/>
  <c r="C184" i="26"/>
  <c r="D184" i="26" s="1"/>
  <c r="E184" i="26"/>
  <c r="F184" i="26" s="1"/>
  <c r="G184" i="26"/>
  <c r="H184" i="26" s="1"/>
  <c r="K184" i="26"/>
  <c r="K185" i="26"/>
  <c r="C186" i="26"/>
  <c r="E186" i="26"/>
  <c r="G186" i="26"/>
  <c r="K186" i="26"/>
  <c r="C187" i="26"/>
  <c r="E187" i="26"/>
  <c r="G187" i="26"/>
  <c r="K187" i="26"/>
  <c r="C188" i="26"/>
  <c r="E188" i="26"/>
  <c r="G188" i="26"/>
  <c r="K188" i="26"/>
  <c r="C189" i="26"/>
  <c r="E189" i="26"/>
  <c r="G189" i="26"/>
  <c r="K189" i="26"/>
  <c r="C193" i="26"/>
  <c r="E193" i="26"/>
  <c r="G193" i="26"/>
  <c r="K193" i="26"/>
  <c r="C196" i="26"/>
  <c r="E196" i="26"/>
  <c r="G196" i="26"/>
  <c r="K196" i="26"/>
  <c r="C197" i="26"/>
  <c r="E197" i="26"/>
  <c r="G197" i="26"/>
  <c r="K197" i="26"/>
  <c r="K198" i="26"/>
  <c r="C199" i="26"/>
  <c r="E199" i="26"/>
  <c r="G199" i="26"/>
  <c r="K199" i="26"/>
  <c r="C201" i="26"/>
  <c r="E201" i="26"/>
  <c r="G201" i="26"/>
  <c r="K201" i="26"/>
  <c r="C203" i="26"/>
  <c r="E203" i="26"/>
  <c r="G203" i="26"/>
  <c r="K203" i="26"/>
  <c r="K204" i="26"/>
  <c r="K205" i="26"/>
  <c r="K206" i="26"/>
  <c r="C207" i="26"/>
  <c r="E207" i="26"/>
  <c r="G207" i="26"/>
  <c r="K207" i="26"/>
  <c r="C208" i="26"/>
  <c r="E208" i="26"/>
  <c r="G208" i="26"/>
  <c r="K208" i="26"/>
  <c r="C209" i="26"/>
  <c r="E209" i="26"/>
  <c r="G209" i="26"/>
  <c r="K209" i="26"/>
  <c r="C210" i="26"/>
  <c r="E210" i="26"/>
  <c r="G210" i="26"/>
  <c r="K210" i="26"/>
  <c r="C211" i="26"/>
  <c r="E211" i="26"/>
  <c r="G211" i="26"/>
  <c r="K211" i="26"/>
  <c r="C212" i="26"/>
  <c r="E212" i="26"/>
  <c r="G212" i="26"/>
  <c r="K212" i="26"/>
  <c r="C213" i="26"/>
  <c r="E213" i="26"/>
  <c r="G213" i="26"/>
  <c r="K213" i="26"/>
  <c r="C214" i="26"/>
  <c r="E214" i="26"/>
  <c r="G214" i="26"/>
  <c r="K214" i="26"/>
  <c r="C215" i="26"/>
  <c r="E215" i="26"/>
  <c r="G215" i="26"/>
  <c r="K215" i="26"/>
  <c r="C216" i="26"/>
  <c r="E216" i="26"/>
  <c r="G216" i="26"/>
  <c r="K216" i="26"/>
  <c r="C217" i="26"/>
  <c r="E217" i="26"/>
  <c r="G217" i="26"/>
  <c r="K217" i="26"/>
  <c r="C219" i="26"/>
  <c r="E219" i="26"/>
  <c r="G219" i="26"/>
  <c r="K219" i="26"/>
  <c r="C220" i="26"/>
  <c r="E220" i="26"/>
  <c r="G220" i="26"/>
  <c r="K220" i="26"/>
  <c r="C221" i="26"/>
  <c r="E221" i="26"/>
  <c r="G221" i="26"/>
  <c r="K221" i="26"/>
  <c r="C222" i="26"/>
  <c r="E222" i="26"/>
  <c r="G222" i="26"/>
  <c r="K222" i="26"/>
  <c r="C223" i="26"/>
  <c r="E223" i="26"/>
  <c r="G223" i="26"/>
  <c r="K223" i="26"/>
  <c r="C224" i="26"/>
  <c r="E224" i="26"/>
  <c r="G224" i="26"/>
  <c r="K224" i="26"/>
  <c r="C229" i="26"/>
  <c r="E229" i="26"/>
  <c r="G229" i="26"/>
  <c r="K229" i="26"/>
  <c r="C234" i="26"/>
  <c r="E234" i="26"/>
  <c r="G234" i="26"/>
  <c r="K234" i="26"/>
  <c r="C235" i="26"/>
  <c r="E235" i="26"/>
  <c r="G235" i="26"/>
  <c r="K235" i="26"/>
  <c r="C236" i="26"/>
  <c r="E236" i="26"/>
  <c r="G236" i="26"/>
  <c r="K236" i="26"/>
  <c r="K239" i="26"/>
  <c r="C240" i="26"/>
  <c r="D240" i="26" s="1"/>
  <c r="E240" i="26"/>
  <c r="F240" i="26" s="1"/>
  <c r="G240" i="26"/>
  <c r="H240" i="26" s="1"/>
  <c r="K240" i="26"/>
  <c r="K243" i="26"/>
  <c r="C244" i="26"/>
  <c r="E244" i="26"/>
  <c r="G244" i="26"/>
  <c r="K244" i="26"/>
  <c r="C248" i="26"/>
  <c r="E248" i="26"/>
  <c r="G248" i="26"/>
  <c r="K248" i="26"/>
  <c r="C249" i="26"/>
  <c r="E249" i="26"/>
  <c r="G249" i="26"/>
  <c r="K249" i="26"/>
  <c r="C251" i="26"/>
  <c r="E251" i="26"/>
  <c r="G251" i="26"/>
  <c r="K251" i="26"/>
  <c r="C252" i="26"/>
  <c r="E252" i="26"/>
  <c r="G252" i="26"/>
  <c r="K252" i="26"/>
  <c r="C253" i="26"/>
  <c r="E253" i="26"/>
  <c r="G253" i="26"/>
  <c r="K253" i="26"/>
  <c r="K256" i="26"/>
  <c r="C257" i="26"/>
  <c r="D257" i="26" s="1"/>
  <c r="E257" i="26"/>
  <c r="F257" i="26" s="1"/>
  <c r="G257" i="26"/>
  <c r="H257" i="26" s="1"/>
  <c r="K257" i="26"/>
  <c r="K258" i="26"/>
  <c r="K259" i="26"/>
  <c r="K260" i="26"/>
  <c r="C261" i="26"/>
  <c r="E261" i="26"/>
  <c r="G261" i="26"/>
  <c r="K261" i="26"/>
  <c r="C262" i="26"/>
  <c r="E262" i="26"/>
  <c r="G262" i="26"/>
  <c r="K262" i="26"/>
  <c r="C263" i="26"/>
  <c r="E263" i="26"/>
  <c r="G263" i="26"/>
  <c r="K263" i="26"/>
  <c r="C266" i="26"/>
  <c r="E266" i="26"/>
  <c r="G266" i="26"/>
  <c r="K266" i="26"/>
  <c r="C267" i="26"/>
  <c r="E267" i="26"/>
  <c r="G267" i="26"/>
  <c r="K267" i="26"/>
  <c r="C268" i="26"/>
  <c r="E268" i="26"/>
  <c r="G268" i="26"/>
  <c r="K268" i="26"/>
  <c r="C269" i="26"/>
  <c r="E269" i="26"/>
  <c r="G269" i="26"/>
  <c r="K269" i="26"/>
  <c r="C270" i="26"/>
  <c r="E270" i="26"/>
  <c r="G270" i="26"/>
  <c r="K270" i="26"/>
  <c r="C271" i="26"/>
  <c r="E271" i="26"/>
  <c r="G271" i="26"/>
  <c r="K271" i="26"/>
  <c r="C272" i="26"/>
  <c r="E272" i="26"/>
  <c r="G272" i="26"/>
  <c r="K272" i="26"/>
  <c r="C274" i="26"/>
  <c r="E274" i="26"/>
  <c r="G274" i="26"/>
  <c r="K274" i="26"/>
  <c r="C275" i="26"/>
  <c r="E275" i="26"/>
  <c r="G275" i="26"/>
  <c r="K275" i="26"/>
  <c r="C276" i="26"/>
  <c r="E276" i="26"/>
  <c r="G276" i="26"/>
  <c r="K276" i="26"/>
  <c r="C277" i="26"/>
  <c r="E277" i="26"/>
  <c r="G277" i="26"/>
  <c r="K277" i="26"/>
  <c r="C278" i="26"/>
  <c r="E278" i="26"/>
  <c r="G278" i="26"/>
  <c r="K278" i="26"/>
  <c r="C279" i="26"/>
  <c r="E279" i="26"/>
  <c r="G279" i="26"/>
  <c r="K279" i="26"/>
  <c r="C280" i="26"/>
  <c r="E280" i="26"/>
  <c r="G280" i="26"/>
  <c r="K280" i="26"/>
  <c r="C281" i="26"/>
  <c r="E281" i="26"/>
  <c r="G281" i="26"/>
  <c r="K281" i="26"/>
  <c r="C282" i="26"/>
  <c r="E282" i="26"/>
  <c r="G282" i="26"/>
  <c r="K282" i="26"/>
  <c r="C283" i="26"/>
  <c r="E283" i="26"/>
  <c r="G283" i="26"/>
  <c r="K283" i="26"/>
  <c r="C284" i="26"/>
  <c r="E284" i="26"/>
  <c r="G284" i="26"/>
  <c r="K284" i="26"/>
  <c r="C285" i="26"/>
  <c r="E285" i="26"/>
  <c r="G285" i="26"/>
  <c r="K285" i="26"/>
  <c r="C286" i="26"/>
  <c r="E286" i="26"/>
  <c r="G286" i="26"/>
  <c r="K286" i="26"/>
  <c r="C287" i="26"/>
  <c r="E287" i="26"/>
  <c r="G287" i="26"/>
  <c r="K287" i="26"/>
  <c r="C289" i="26"/>
  <c r="E289" i="26"/>
  <c r="G289" i="26"/>
  <c r="K289" i="26"/>
  <c r="C290" i="26"/>
  <c r="E290" i="26"/>
  <c r="G290" i="26"/>
  <c r="K290" i="26"/>
  <c r="C291" i="26"/>
  <c r="E291" i="26"/>
  <c r="G291" i="26"/>
  <c r="K291" i="26"/>
  <c r="C292" i="26"/>
  <c r="E292" i="26"/>
  <c r="G292" i="26"/>
  <c r="K292" i="26"/>
  <c r="C293" i="26"/>
  <c r="E293" i="26"/>
  <c r="G293" i="26"/>
  <c r="K293" i="26"/>
  <c r="C294" i="26"/>
  <c r="E294" i="26"/>
  <c r="G294" i="26"/>
  <c r="K294" i="26"/>
  <c r="C295" i="26"/>
  <c r="E295" i="26"/>
  <c r="G295" i="26"/>
  <c r="K295" i="26"/>
  <c r="C296" i="26"/>
  <c r="E296" i="26"/>
  <c r="G296" i="26"/>
  <c r="K296" i="26"/>
  <c r="C297" i="26"/>
  <c r="E297" i="26"/>
  <c r="G297" i="26"/>
  <c r="K297" i="26"/>
  <c r="C298" i="26"/>
  <c r="E298" i="26"/>
  <c r="G298" i="26"/>
  <c r="K298" i="26"/>
  <c r="C299" i="26"/>
  <c r="E299" i="26"/>
  <c r="G299" i="26"/>
  <c r="K299" i="26"/>
  <c r="C300" i="26"/>
  <c r="G300" i="26"/>
  <c r="K300" i="26"/>
  <c r="C301" i="26"/>
  <c r="E301" i="26"/>
  <c r="G301" i="26"/>
  <c r="K301" i="26"/>
  <c r="C302" i="26"/>
  <c r="E302" i="26"/>
  <c r="G302" i="26"/>
  <c r="K302" i="26"/>
  <c r="C303" i="26"/>
  <c r="E303" i="26"/>
  <c r="G303" i="26"/>
  <c r="K303" i="26"/>
  <c r="C304" i="26"/>
  <c r="E304" i="26"/>
  <c r="G304" i="26"/>
  <c r="K304" i="26"/>
  <c r="C305" i="26"/>
  <c r="E305" i="26"/>
  <c r="G305" i="26"/>
  <c r="K305" i="26"/>
  <c r="C306" i="26"/>
  <c r="E306" i="26"/>
  <c r="G306" i="26"/>
  <c r="K306" i="26"/>
  <c r="C307" i="26"/>
  <c r="E307" i="26"/>
  <c r="G307" i="26"/>
  <c r="K307" i="26"/>
  <c r="K308" i="26"/>
  <c r="C309" i="26"/>
  <c r="E309" i="26"/>
  <c r="G309" i="26"/>
  <c r="K309" i="26"/>
  <c r="C310" i="26"/>
  <c r="E310" i="26"/>
  <c r="G310" i="26"/>
  <c r="K310" i="26"/>
  <c r="C311" i="26"/>
  <c r="E311" i="26"/>
  <c r="G311" i="26"/>
  <c r="K311" i="26"/>
  <c r="K312" i="26"/>
  <c r="C313" i="26"/>
  <c r="E313" i="26"/>
  <c r="G313" i="26"/>
  <c r="K313" i="26"/>
  <c r="C314" i="26"/>
  <c r="E314" i="26"/>
  <c r="G314" i="26"/>
  <c r="K314" i="26"/>
  <c r="C315" i="26"/>
  <c r="E315" i="26"/>
  <c r="G315" i="26"/>
  <c r="K315" i="26"/>
  <c r="C316" i="26"/>
  <c r="E316" i="26"/>
  <c r="G316" i="26"/>
  <c r="K316" i="26"/>
  <c r="C317" i="26"/>
  <c r="E317" i="26"/>
  <c r="G317" i="26"/>
  <c r="K317" i="26"/>
  <c r="C318" i="26"/>
  <c r="E318" i="26"/>
  <c r="G318" i="26"/>
  <c r="K318" i="26"/>
  <c r="C319" i="26"/>
  <c r="E319" i="26"/>
  <c r="G319" i="26"/>
  <c r="K319" i="26"/>
  <c r="C320" i="26"/>
  <c r="E320" i="26"/>
  <c r="G320" i="26"/>
  <c r="K320" i="26"/>
  <c r="C321" i="26"/>
  <c r="E321" i="26"/>
  <c r="G321" i="26"/>
  <c r="K321" i="26"/>
  <c r="C322" i="26"/>
  <c r="E322" i="26"/>
  <c r="G322" i="26"/>
  <c r="K322" i="26"/>
  <c r="C323" i="26"/>
  <c r="E323" i="26"/>
  <c r="G323" i="26"/>
  <c r="K323" i="26"/>
  <c r="C324" i="26"/>
  <c r="E324" i="26"/>
  <c r="G324" i="26"/>
  <c r="K324" i="26"/>
  <c r="K325" i="26"/>
  <c r="C326" i="26"/>
  <c r="E326" i="26"/>
  <c r="G326" i="26"/>
  <c r="K326" i="26"/>
  <c r="C327" i="26"/>
  <c r="E327" i="26"/>
  <c r="G327" i="26"/>
  <c r="K327" i="26"/>
  <c r="K328" i="26"/>
  <c r="K329" i="26"/>
  <c r="K330" i="26"/>
  <c r="C331" i="26"/>
  <c r="E331" i="26"/>
  <c r="G331" i="26"/>
  <c r="K331" i="26"/>
  <c r="C332" i="26"/>
  <c r="E332" i="26"/>
  <c r="G332" i="26"/>
  <c r="K332" i="26"/>
  <c r="C333" i="26"/>
  <c r="E333" i="26"/>
  <c r="G333" i="26"/>
  <c r="K333" i="26"/>
  <c r="C335" i="26"/>
  <c r="E335" i="26"/>
  <c r="G335" i="26"/>
  <c r="K335" i="26"/>
  <c r="C336" i="26"/>
  <c r="E336" i="26"/>
  <c r="G336" i="26"/>
  <c r="K336" i="26"/>
  <c r="C337" i="26"/>
  <c r="E337" i="26"/>
  <c r="G337" i="26"/>
  <c r="K337" i="26"/>
  <c r="C338" i="26"/>
  <c r="E338" i="26"/>
  <c r="G338" i="26"/>
  <c r="K338" i="26"/>
  <c r="C339" i="26"/>
  <c r="E339" i="26"/>
  <c r="G339" i="26"/>
  <c r="K339" i="26"/>
  <c r="C340" i="26"/>
  <c r="E340" i="26"/>
  <c r="G340" i="26"/>
  <c r="K340" i="26"/>
  <c r="C341" i="26"/>
  <c r="E341" i="26"/>
  <c r="G341" i="26"/>
  <c r="K341" i="26"/>
  <c r="C342" i="26"/>
  <c r="E342" i="26"/>
  <c r="G342" i="26"/>
  <c r="K342" i="26"/>
  <c r="C343" i="26"/>
  <c r="E343" i="26"/>
  <c r="G343" i="26"/>
  <c r="K343" i="26"/>
  <c r="C344" i="26"/>
  <c r="E344" i="26"/>
  <c r="G344" i="26"/>
  <c r="K344" i="26"/>
  <c r="C345" i="26"/>
  <c r="E345" i="26"/>
  <c r="G345" i="26"/>
  <c r="K345" i="26"/>
  <c r="C346" i="26"/>
  <c r="E346" i="26"/>
  <c r="G346" i="26"/>
  <c r="K346" i="26"/>
  <c r="C347" i="26"/>
  <c r="E347" i="26"/>
  <c r="G347" i="26"/>
  <c r="K347" i="26"/>
  <c r="C348" i="26"/>
  <c r="E348" i="26"/>
  <c r="G348" i="26"/>
  <c r="K348" i="26"/>
  <c r="C349" i="26"/>
  <c r="E349" i="26"/>
  <c r="G349" i="26"/>
  <c r="K349" i="26"/>
  <c r="C350" i="26"/>
  <c r="E350" i="26"/>
  <c r="G350" i="26"/>
  <c r="K350" i="26"/>
  <c r="C351" i="26"/>
  <c r="E351" i="26"/>
  <c r="G351" i="26"/>
  <c r="K351" i="26"/>
  <c r="C352" i="26"/>
  <c r="E352" i="26"/>
  <c r="G352" i="26"/>
  <c r="K352" i="26"/>
  <c r="C353" i="26"/>
  <c r="E353" i="26"/>
  <c r="G353" i="26"/>
  <c r="K353" i="26"/>
  <c r="C354" i="26"/>
  <c r="E354" i="26"/>
  <c r="G354" i="26"/>
  <c r="K354" i="26"/>
  <c r="C355" i="26"/>
  <c r="E355" i="26"/>
  <c r="G355" i="26"/>
  <c r="K355" i="26"/>
  <c r="C356" i="26"/>
  <c r="E356" i="26"/>
  <c r="G356" i="26"/>
  <c r="K356" i="26"/>
  <c r="C357" i="26"/>
  <c r="E357" i="26"/>
  <c r="G357" i="26"/>
  <c r="K357" i="26"/>
  <c r="C358" i="26"/>
  <c r="E358" i="26"/>
  <c r="G358" i="26"/>
  <c r="K358" i="26"/>
  <c r="C359" i="26"/>
  <c r="E359" i="26"/>
  <c r="G359" i="26"/>
  <c r="K359" i="26"/>
  <c r="C360" i="26"/>
  <c r="E360" i="26"/>
  <c r="G360" i="26"/>
  <c r="K360" i="26"/>
  <c r="C361" i="26"/>
  <c r="E361" i="26"/>
  <c r="G361" i="26"/>
  <c r="K361" i="26"/>
  <c r="C362" i="26"/>
  <c r="E362" i="26"/>
  <c r="G362" i="26"/>
  <c r="K362" i="26"/>
  <c r="C363" i="26"/>
  <c r="G363" i="26"/>
  <c r="K363" i="26"/>
  <c r="C364" i="26"/>
  <c r="E364" i="26"/>
  <c r="G364" i="26"/>
  <c r="K364" i="26"/>
  <c r="C365" i="26"/>
  <c r="E365" i="26"/>
  <c r="G365" i="26"/>
  <c r="K365" i="26"/>
  <c r="C366" i="26"/>
  <c r="E366" i="26"/>
  <c r="G366" i="26"/>
  <c r="K366" i="26"/>
  <c r="C367" i="26"/>
  <c r="E367" i="26"/>
  <c r="G367" i="26"/>
  <c r="K367" i="26"/>
  <c r="C368" i="26"/>
  <c r="E368" i="26"/>
  <c r="G368" i="26"/>
  <c r="K368" i="26"/>
  <c r="C369" i="26"/>
  <c r="E369" i="26"/>
  <c r="G369" i="26"/>
  <c r="K369" i="26"/>
  <c r="C370" i="26"/>
  <c r="E370" i="26"/>
  <c r="G370" i="26"/>
  <c r="K370" i="26"/>
  <c r="C371" i="26"/>
  <c r="E371" i="26"/>
  <c r="G371" i="26"/>
  <c r="K371" i="26"/>
  <c r="C372" i="26"/>
  <c r="E372" i="26"/>
  <c r="G372" i="26"/>
  <c r="K372" i="26"/>
  <c r="C373" i="26"/>
  <c r="E373" i="26"/>
  <c r="G373" i="26"/>
  <c r="K373" i="26"/>
  <c r="C374" i="26"/>
  <c r="E374" i="26"/>
  <c r="G374" i="26"/>
  <c r="K374" i="26"/>
  <c r="C375" i="26"/>
  <c r="E375" i="26"/>
  <c r="G375" i="26"/>
  <c r="K375" i="26"/>
  <c r="C376" i="26"/>
  <c r="E376" i="26"/>
  <c r="G376" i="26"/>
  <c r="K376" i="26"/>
  <c r="C377" i="26"/>
  <c r="E377" i="26"/>
  <c r="G377" i="26"/>
  <c r="K377" i="26"/>
  <c r="C378" i="26"/>
  <c r="E378" i="26"/>
  <c r="G378" i="26"/>
  <c r="K378" i="26"/>
  <c r="C379" i="26"/>
  <c r="E379" i="26"/>
  <c r="G379" i="26"/>
  <c r="K379" i="26"/>
  <c r="C380" i="26"/>
  <c r="E380" i="26"/>
  <c r="G380" i="26"/>
  <c r="K380" i="26"/>
  <c r="C381" i="26"/>
  <c r="E381" i="26"/>
  <c r="G381" i="26"/>
  <c r="K381" i="26"/>
  <c r="C382" i="26"/>
  <c r="E382" i="26"/>
  <c r="G382" i="26"/>
  <c r="K382" i="26"/>
  <c r="C383" i="26"/>
  <c r="E383" i="26"/>
  <c r="G383" i="26"/>
  <c r="K383" i="26"/>
  <c r="C384" i="26"/>
  <c r="E384" i="26"/>
  <c r="G384" i="26"/>
  <c r="K384" i="26"/>
  <c r="C385" i="26"/>
  <c r="E385" i="26"/>
  <c r="G385" i="26"/>
  <c r="K385" i="26"/>
  <c r="C386" i="26"/>
  <c r="E386" i="26"/>
  <c r="G386" i="26"/>
  <c r="K386" i="26"/>
  <c r="C387" i="26"/>
  <c r="E387" i="26"/>
  <c r="G387" i="26"/>
  <c r="K387" i="26"/>
  <c r="C388" i="26"/>
  <c r="E388" i="26"/>
  <c r="G388" i="26"/>
  <c r="K388" i="26"/>
  <c r="C389" i="26"/>
  <c r="E389" i="26"/>
  <c r="G389" i="26"/>
  <c r="K389" i="26"/>
  <c r="C390" i="26"/>
  <c r="E390" i="26"/>
  <c r="G390" i="26"/>
  <c r="K390" i="26"/>
  <c r="C391" i="26"/>
  <c r="E391" i="26"/>
  <c r="G391" i="26"/>
  <c r="K391" i="26"/>
  <c r="C392" i="26"/>
  <c r="E392" i="26"/>
  <c r="G392" i="26"/>
  <c r="K392" i="26"/>
  <c r="C393" i="26"/>
  <c r="E393" i="26"/>
  <c r="G393" i="26"/>
  <c r="K393" i="26"/>
  <c r="C394" i="26"/>
  <c r="E394" i="26"/>
  <c r="G394" i="26"/>
  <c r="K394" i="26"/>
  <c r="C395" i="26"/>
  <c r="E395" i="26"/>
  <c r="G395" i="26"/>
  <c r="K395" i="26"/>
  <c r="C397" i="26"/>
  <c r="E397" i="26"/>
  <c r="G397" i="26"/>
  <c r="K397" i="26"/>
  <c r="C398" i="26"/>
  <c r="E398" i="26"/>
  <c r="G398" i="26"/>
  <c r="K398" i="26"/>
  <c r="C399" i="26"/>
  <c r="E399" i="26"/>
  <c r="G399" i="26"/>
  <c r="K399" i="26"/>
  <c r="C400" i="26"/>
  <c r="E400" i="26"/>
  <c r="G400" i="26"/>
  <c r="K400" i="26"/>
  <c r="C401" i="26"/>
  <c r="E401" i="26"/>
  <c r="G401" i="26"/>
  <c r="K401" i="26"/>
  <c r="C402" i="26"/>
  <c r="E402" i="26"/>
  <c r="G402" i="26"/>
  <c r="K402" i="26"/>
  <c r="C403" i="26"/>
  <c r="E403" i="26"/>
  <c r="G403" i="26"/>
  <c r="K403" i="26"/>
  <c r="C404" i="26"/>
  <c r="E404" i="26"/>
  <c r="G404" i="26"/>
  <c r="K404" i="26"/>
  <c r="C405" i="26"/>
  <c r="E405" i="26"/>
  <c r="G405" i="26"/>
  <c r="K405" i="26"/>
  <c r="C406" i="26"/>
  <c r="E406" i="26"/>
  <c r="G406" i="26"/>
  <c r="K406" i="26"/>
  <c r="C407" i="26"/>
  <c r="E407" i="26"/>
  <c r="G407" i="26"/>
  <c r="K407" i="26"/>
  <c r="C408" i="26"/>
  <c r="E408" i="26"/>
  <c r="G408" i="26"/>
  <c r="K408" i="26"/>
  <c r="C409" i="26"/>
  <c r="E409" i="26"/>
  <c r="G409" i="26"/>
  <c r="K409" i="26"/>
  <c r="C410" i="26"/>
  <c r="E410" i="26"/>
  <c r="G410" i="26"/>
  <c r="K410" i="26"/>
  <c r="C412" i="26"/>
  <c r="E412" i="26"/>
  <c r="G412" i="26"/>
  <c r="K412" i="26"/>
  <c r="C413" i="26"/>
  <c r="E413" i="26"/>
  <c r="G413" i="26"/>
  <c r="K413" i="26"/>
  <c r="C415" i="26"/>
  <c r="E415" i="26"/>
  <c r="G415" i="26"/>
  <c r="K415" i="26"/>
  <c r="C416" i="26"/>
  <c r="E416" i="26"/>
  <c r="G416" i="26"/>
  <c r="K416" i="26"/>
  <c r="C417" i="26"/>
  <c r="E417" i="26"/>
  <c r="G417" i="26"/>
  <c r="K417" i="26"/>
  <c r="C418" i="26"/>
  <c r="E418" i="26"/>
  <c r="G418" i="26"/>
  <c r="K418" i="26"/>
  <c r="C419" i="26"/>
  <c r="E419" i="26"/>
  <c r="G419" i="26"/>
  <c r="K419" i="26"/>
  <c r="C420" i="26"/>
  <c r="E420" i="26"/>
  <c r="G420" i="26"/>
  <c r="K420" i="26"/>
  <c r="C421" i="26"/>
  <c r="E421" i="26"/>
  <c r="G421" i="26"/>
  <c r="K421" i="26"/>
  <c r="C422" i="26"/>
  <c r="E422" i="26"/>
  <c r="G422" i="26"/>
  <c r="K422" i="26"/>
  <c r="C423" i="26"/>
  <c r="E423" i="26"/>
  <c r="G423" i="26"/>
  <c r="K423" i="26"/>
  <c r="C429" i="26"/>
  <c r="E429" i="26"/>
  <c r="G429" i="26"/>
  <c r="K429" i="26"/>
  <c r="K431" i="26"/>
  <c r="C432" i="26"/>
  <c r="E432" i="26"/>
  <c r="G432" i="26"/>
  <c r="K432" i="26"/>
  <c r="C433" i="26"/>
  <c r="E433" i="26"/>
  <c r="G433" i="26"/>
  <c r="K433" i="26"/>
  <c r="K434" i="26"/>
  <c r="C436" i="26"/>
  <c r="E436" i="26"/>
  <c r="G436" i="26"/>
  <c r="K436" i="26"/>
  <c r="C437" i="26"/>
  <c r="E437" i="26"/>
  <c r="G437" i="26"/>
  <c r="K437" i="26"/>
  <c r="C438" i="26"/>
  <c r="E438" i="26"/>
  <c r="G438" i="26"/>
  <c r="K438" i="26"/>
  <c r="C439" i="26"/>
  <c r="E439" i="26"/>
  <c r="G439" i="26"/>
  <c r="K439" i="26"/>
  <c r="C440" i="26"/>
  <c r="E440" i="26"/>
  <c r="G440" i="26"/>
  <c r="K440" i="26"/>
  <c r="C441" i="26"/>
  <c r="E441" i="26"/>
  <c r="G441" i="26"/>
  <c r="K441" i="26"/>
  <c r="C453" i="26"/>
  <c r="E453" i="26"/>
  <c r="G453" i="26"/>
  <c r="K453" i="26"/>
  <c r="C455" i="26"/>
  <c r="E455" i="26"/>
  <c r="G455" i="26"/>
  <c r="K455" i="26"/>
  <c r="C456" i="26"/>
  <c r="E456" i="26"/>
  <c r="G456" i="26"/>
  <c r="K456" i="26"/>
  <c r="C457" i="26"/>
  <c r="E457" i="26"/>
  <c r="G457" i="26"/>
  <c r="K457" i="26"/>
  <c r="C458" i="26"/>
  <c r="E458" i="26"/>
  <c r="G458" i="26"/>
  <c r="K458" i="26"/>
  <c r="C459" i="26"/>
  <c r="E459" i="26"/>
  <c r="G459" i="26"/>
  <c r="K459" i="26"/>
  <c r="C460" i="26"/>
  <c r="E460" i="26"/>
  <c r="G460" i="26"/>
  <c r="K460" i="26"/>
  <c r="C461" i="26"/>
  <c r="E461" i="26"/>
  <c r="G461" i="26"/>
  <c r="K461" i="26"/>
  <c r="C462" i="26"/>
  <c r="E462" i="26"/>
  <c r="G462" i="26"/>
  <c r="K462" i="26"/>
  <c r="C463" i="26"/>
  <c r="E463" i="26"/>
  <c r="G463" i="26"/>
  <c r="K463" i="26"/>
  <c r="C464" i="26"/>
  <c r="E464" i="26"/>
  <c r="G464" i="26"/>
  <c r="K464" i="26"/>
  <c r="C467" i="26"/>
  <c r="E467" i="26"/>
  <c r="G467" i="26"/>
  <c r="K467" i="26"/>
  <c r="C468" i="26"/>
  <c r="E468" i="26"/>
  <c r="G468" i="26"/>
  <c r="K468" i="26"/>
  <c r="C469" i="26"/>
  <c r="E469" i="26"/>
  <c r="G469" i="26"/>
  <c r="K469" i="26"/>
  <c r="C470" i="26"/>
  <c r="E470" i="26"/>
  <c r="G470" i="26"/>
  <c r="K470" i="26"/>
  <c r="C471" i="26"/>
  <c r="E471" i="26"/>
  <c r="G471" i="26"/>
  <c r="K471" i="26"/>
  <c r="C472" i="26"/>
  <c r="E472" i="26"/>
  <c r="G472" i="26"/>
  <c r="K472" i="26"/>
  <c r="C473" i="26"/>
  <c r="E473" i="26"/>
  <c r="G473" i="26"/>
  <c r="K473" i="26"/>
  <c r="C474" i="26"/>
  <c r="E474" i="26"/>
  <c r="G474" i="26"/>
  <c r="K474" i="26"/>
  <c r="C475" i="26"/>
  <c r="E475" i="26"/>
  <c r="G475" i="26"/>
  <c r="K475" i="26"/>
  <c r="C476" i="26"/>
  <c r="E476" i="26"/>
  <c r="G476" i="26"/>
  <c r="K476" i="26"/>
  <c r="C477" i="26"/>
  <c r="E477" i="26"/>
  <c r="G477" i="26"/>
  <c r="K477" i="26"/>
  <c r="C478" i="26"/>
  <c r="E478" i="26"/>
  <c r="G478" i="26"/>
  <c r="K478" i="26"/>
  <c r="C485" i="26"/>
  <c r="E485" i="26"/>
  <c r="G485" i="26"/>
  <c r="K485" i="26"/>
  <c r="C486" i="26"/>
  <c r="E486" i="26"/>
  <c r="G486" i="26"/>
  <c r="K486" i="26"/>
  <c r="C487" i="26"/>
  <c r="E487" i="26"/>
  <c r="G487" i="26"/>
  <c r="K487" i="26"/>
  <c r="C488" i="26"/>
  <c r="E488" i="26"/>
  <c r="G488" i="26"/>
  <c r="K488" i="26"/>
  <c r="C489" i="26"/>
  <c r="E489" i="26"/>
  <c r="G489" i="26"/>
  <c r="K489" i="26"/>
  <c r="C503" i="26"/>
  <c r="E503" i="26"/>
  <c r="G503" i="26"/>
  <c r="K503" i="26"/>
  <c r="C504" i="26"/>
  <c r="E504" i="26"/>
  <c r="G504" i="26"/>
  <c r="K504" i="26"/>
  <c r="C505" i="26"/>
  <c r="E505" i="26"/>
  <c r="G505" i="26"/>
  <c r="K505" i="26"/>
  <c r="C506" i="26"/>
  <c r="E506" i="26"/>
  <c r="G506" i="26"/>
  <c r="K506" i="26"/>
  <c r="C507" i="26"/>
  <c r="E507" i="26"/>
  <c r="G507" i="26"/>
  <c r="K507" i="26"/>
  <c r="C508" i="26"/>
  <c r="E508" i="26"/>
  <c r="G508" i="26"/>
  <c r="K508" i="26"/>
  <c r="C509" i="26"/>
  <c r="E509" i="26"/>
  <c r="G509" i="26"/>
  <c r="K509" i="26"/>
  <c r="C510" i="26"/>
  <c r="E510" i="26"/>
  <c r="G510" i="26"/>
  <c r="K510" i="26"/>
  <c r="C511" i="26"/>
  <c r="E511" i="26"/>
  <c r="G511" i="26"/>
  <c r="K511" i="26"/>
  <c r="C512" i="26"/>
  <c r="E512" i="26"/>
  <c r="G512" i="26"/>
  <c r="K512" i="26"/>
  <c r="C513" i="26"/>
  <c r="E513" i="26"/>
  <c r="G513" i="26"/>
  <c r="K513" i="26"/>
  <c r="C514" i="26"/>
  <c r="E514" i="26"/>
  <c r="G514" i="26"/>
  <c r="K514" i="26"/>
  <c r="C515" i="26"/>
  <c r="E515" i="26"/>
  <c r="G515" i="26"/>
  <c r="K515" i="26"/>
  <c r="C516" i="26"/>
  <c r="E516" i="26"/>
  <c r="G516" i="26"/>
  <c r="K516" i="26"/>
  <c r="C517" i="26"/>
  <c r="E517" i="26"/>
  <c r="G517" i="26"/>
  <c r="K517" i="26"/>
  <c r="C518" i="26"/>
  <c r="G518" i="26"/>
  <c r="K518" i="26"/>
  <c r="C519" i="26"/>
  <c r="E519" i="26"/>
  <c r="G519" i="26"/>
  <c r="K519" i="26"/>
  <c r="C520" i="26"/>
  <c r="G520" i="26"/>
  <c r="K520" i="26"/>
  <c r="C521" i="26"/>
  <c r="E521" i="26"/>
  <c r="G521" i="26"/>
  <c r="K521" i="26"/>
  <c r="C522" i="26"/>
  <c r="E522" i="26"/>
  <c r="G522" i="26"/>
  <c r="K522" i="26"/>
  <c r="C523" i="26"/>
  <c r="E523" i="26"/>
  <c r="G523" i="26"/>
  <c r="K523" i="26"/>
  <c r="C524" i="26"/>
  <c r="E524" i="26"/>
  <c r="G524" i="26"/>
  <c r="K524" i="26"/>
  <c r="C525" i="26"/>
  <c r="E525" i="26"/>
  <c r="G525" i="26"/>
  <c r="K525" i="26"/>
  <c r="C526" i="26"/>
  <c r="E526" i="26"/>
  <c r="G526" i="26"/>
  <c r="K526" i="26"/>
  <c r="C527" i="26"/>
  <c r="E527" i="26"/>
  <c r="G527" i="26"/>
  <c r="K527" i="26"/>
  <c r="C528" i="26"/>
  <c r="E528" i="26"/>
  <c r="G528" i="26"/>
  <c r="K528" i="26"/>
  <c r="C529" i="26"/>
  <c r="E529" i="26"/>
  <c r="G529" i="26"/>
  <c r="K529" i="26"/>
  <c r="C530" i="26"/>
  <c r="E530" i="26"/>
  <c r="G530" i="26"/>
  <c r="K530" i="26"/>
  <c r="C531" i="26"/>
  <c r="E531" i="26"/>
  <c r="G531" i="26"/>
  <c r="K531" i="26"/>
  <c r="C532" i="26"/>
  <c r="E532" i="26"/>
  <c r="G532" i="26"/>
  <c r="K532" i="26"/>
  <c r="C533" i="26"/>
  <c r="E533" i="26"/>
  <c r="G533" i="26"/>
  <c r="K533" i="26"/>
  <c r="C534" i="26"/>
  <c r="E534" i="26"/>
  <c r="G534" i="26"/>
  <c r="K534" i="26"/>
  <c r="C535" i="26"/>
  <c r="E535" i="26"/>
  <c r="G535" i="26"/>
  <c r="K535" i="26"/>
  <c r="C536" i="26"/>
  <c r="E536" i="26"/>
  <c r="G536" i="26"/>
  <c r="K536" i="26"/>
  <c r="C537" i="26"/>
  <c r="E537" i="26"/>
  <c r="G537" i="26"/>
  <c r="K537" i="26"/>
  <c r="C538" i="26"/>
  <c r="E538" i="26"/>
  <c r="G538" i="26"/>
  <c r="K538" i="26"/>
  <c r="C539" i="26"/>
  <c r="E539" i="26"/>
  <c r="G539" i="26"/>
  <c r="K539" i="26"/>
  <c r="C540" i="26"/>
  <c r="E540" i="26"/>
  <c r="G540" i="26"/>
  <c r="K540" i="26"/>
  <c r="C541" i="26"/>
  <c r="E541" i="26"/>
  <c r="G541" i="26"/>
  <c r="K541" i="26"/>
  <c r="C542" i="26"/>
  <c r="E542" i="26"/>
  <c r="G542" i="26"/>
  <c r="K542" i="26"/>
  <c r="C543" i="26"/>
  <c r="E543" i="26"/>
  <c r="G543" i="26"/>
  <c r="K543" i="26"/>
  <c r="C544" i="26"/>
  <c r="E544" i="26"/>
  <c r="G544" i="26"/>
  <c r="K544" i="26"/>
  <c r="C545" i="26"/>
  <c r="E545" i="26"/>
  <c r="G545" i="26"/>
  <c r="K545" i="26"/>
  <c r="C546" i="26"/>
  <c r="E546" i="26"/>
  <c r="G546" i="26"/>
  <c r="K546" i="26"/>
  <c r="C547" i="26"/>
  <c r="E547" i="26"/>
  <c r="G547" i="26"/>
  <c r="K547" i="26"/>
  <c r="C548" i="26"/>
  <c r="E548" i="26"/>
  <c r="G548" i="26"/>
  <c r="K548" i="26"/>
  <c r="C549" i="26"/>
  <c r="E549" i="26"/>
  <c r="G549" i="26"/>
  <c r="K549" i="26"/>
  <c r="C550" i="26"/>
  <c r="E550" i="26"/>
  <c r="G550" i="26"/>
  <c r="K550" i="26"/>
  <c r="C551" i="26"/>
  <c r="E551" i="26"/>
  <c r="G551" i="26"/>
  <c r="K551" i="26"/>
  <c r="C552" i="26"/>
  <c r="E552" i="26"/>
  <c r="G552" i="26"/>
  <c r="K552" i="26"/>
  <c r="C553" i="26"/>
  <c r="E553" i="26"/>
  <c r="G553" i="26"/>
  <c r="K553" i="26"/>
  <c r="C554" i="26"/>
  <c r="E554" i="26"/>
  <c r="G554" i="26"/>
  <c r="K554" i="26"/>
  <c r="C555" i="26"/>
  <c r="E555" i="26"/>
  <c r="G555" i="26"/>
  <c r="K555" i="26"/>
  <c r="C556" i="26"/>
  <c r="E556" i="26"/>
  <c r="G556" i="26"/>
  <c r="K556" i="26"/>
  <c r="C557" i="26"/>
  <c r="E557" i="26"/>
  <c r="G557" i="26"/>
  <c r="K557" i="26"/>
  <c r="C558" i="26"/>
  <c r="E558" i="26"/>
  <c r="G558" i="26"/>
  <c r="K558" i="26"/>
  <c r="C559" i="26"/>
  <c r="E559" i="26"/>
  <c r="G559" i="26"/>
  <c r="K559" i="26"/>
  <c r="C560" i="26"/>
  <c r="E560" i="26"/>
  <c r="G560" i="26"/>
  <c r="K560" i="26"/>
  <c r="C561" i="26"/>
  <c r="E561" i="26"/>
  <c r="G561" i="26"/>
  <c r="K561" i="26"/>
  <c r="C562" i="26"/>
  <c r="E562" i="26"/>
  <c r="G562" i="26"/>
  <c r="K562" i="26"/>
  <c r="C563" i="26"/>
  <c r="E563" i="26"/>
  <c r="G563" i="26"/>
  <c r="K563" i="26"/>
  <c r="C564" i="26"/>
  <c r="E564" i="26"/>
  <c r="G564" i="26"/>
  <c r="K564" i="26"/>
  <c r="C565" i="26"/>
  <c r="E565" i="26"/>
  <c r="G565" i="26"/>
  <c r="K565" i="26"/>
  <c r="C566" i="26"/>
  <c r="E566" i="26"/>
  <c r="G566" i="26"/>
  <c r="K566" i="26"/>
  <c r="C567" i="26"/>
  <c r="E567" i="26"/>
  <c r="G567" i="26"/>
  <c r="K567" i="26"/>
  <c r="C568" i="26"/>
  <c r="E568" i="26"/>
  <c r="G568" i="26"/>
  <c r="K568" i="26"/>
  <c r="C569" i="26"/>
  <c r="E569" i="26"/>
  <c r="G569" i="26"/>
  <c r="K569" i="26"/>
  <c r="C570" i="26"/>
  <c r="E570" i="26"/>
  <c r="G570" i="26"/>
  <c r="K570" i="26"/>
  <c r="C571" i="26"/>
  <c r="E571" i="26"/>
  <c r="G571" i="26"/>
  <c r="K571" i="26"/>
  <c r="C572" i="26"/>
  <c r="E572" i="26"/>
  <c r="G572" i="26"/>
  <c r="K572" i="26"/>
  <c r="C573" i="26"/>
  <c r="E573" i="26"/>
  <c r="G573" i="26"/>
  <c r="K573" i="26"/>
  <c r="C574" i="26"/>
  <c r="E574" i="26"/>
  <c r="G574" i="26"/>
  <c r="K574" i="26"/>
  <c r="C575" i="26"/>
  <c r="E575" i="26"/>
  <c r="G575" i="26"/>
  <c r="K575" i="26"/>
  <c r="C576" i="26"/>
  <c r="E576" i="26"/>
  <c r="G576" i="26"/>
  <c r="K576" i="26"/>
  <c r="C577" i="26"/>
  <c r="E577" i="26"/>
  <c r="G577" i="26"/>
  <c r="K577" i="26"/>
  <c r="C578" i="26"/>
  <c r="E578" i="26"/>
  <c r="G578" i="26"/>
  <c r="K578" i="26"/>
  <c r="C579" i="26"/>
  <c r="E579" i="26"/>
  <c r="G579" i="26"/>
  <c r="K579" i="26"/>
  <c r="C589" i="26"/>
  <c r="E589" i="26"/>
  <c r="G589" i="26"/>
  <c r="K589" i="26"/>
  <c r="C590" i="26"/>
  <c r="E590" i="26"/>
  <c r="G590" i="26"/>
  <c r="K590" i="26"/>
  <c r="C591" i="26"/>
  <c r="E591" i="26"/>
  <c r="G591" i="26"/>
  <c r="K591" i="26"/>
  <c r="C592" i="26"/>
  <c r="E592" i="26"/>
  <c r="G592" i="26"/>
  <c r="K592" i="26"/>
  <c r="C593" i="26"/>
  <c r="E593" i="26"/>
  <c r="G593" i="26"/>
  <c r="K593" i="26"/>
  <c r="C594" i="26"/>
  <c r="E594" i="26"/>
  <c r="G594" i="26"/>
  <c r="K594" i="26"/>
  <c r="C595" i="26"/>
  <c r="E595" i="26"/>
  <c r="G595" i="26"/>
  <c r="K595" i="26"/>
  <c r="C596" i="26"/>
  <c r="E596" i="26"/>
  <c r="G596" i="26"/>
  <c r="K596" i="26"/>
  <c r="C600" i="26"/>
  <c r="E600" i="26"/>
  <c r="G600" i="26"/>
  <c r="K600" i="26"/>
  <c r="C601" i="26"/>
  <c r="E601" i="26"/>
  <c r="G601" i="26"/>
  <c r="K601" i="26"/>
  <c r="C602" i="26"/>
  <c r="E602" i="26"/>
  <c r="G602" i="26"/>
  <c r="K602" i="26"/>
  <c r="C603" i="26"/>
  <c r="E603" i="26"/>
  <c r="G603" i="26"/>
  <c r="K603" i="26"/>
  <c r="C604" i="26"/>
  <c r="E604" i="26"/>
  <c r="G604" i="26"/>
  <c r="K604" i="26"/>
  <c r="C606" i="26"/>
  <c r="E606" i="26"/>
  <c r="G606" i="26"/>
  <c r="K606" i="26"/>
  <c r="C607" i="26"/>
  <c r="E607" i="26"/>
  <c r="G607" i="26"/>
  <c r="K607" i="26"/>
  <c r="C608" i="26"/>
  <c r="E608" i="26"/>
  <c r="G608" i="26"/>
  <c r="K608" i="26"/>
  <c r="C609" i="26"/>
  <c r="E609" i="26"/>
  <c r="G609" i="26"/>
  <c r="K609" i="26"/>
  <c r="C610" i="26"/>
  <c r="E610" i="26"/>
  <c r="G610" i="26"/>
  <c r="K610" i="26"/>
  <c r="C611" i="26"/>
  <c r="E611" i="26"/>
  <c r="G611" i="26"/>
  <c r="K611" i="26"/>
  <c r="C612" i="26"/>
  <c r="E612" i="26"/>
  <c r="G612" i="26"/>
  <c r="K612" i="26"/>
  <c r="C613" i="26"/>
  <c r="E613" i="26"/>
  <c r="G613" i="26"/>
  <c r="K613" i="26"/>
  <c r="C614" i="26"/>
  <c r="E614" i="26"/>
  <c r="G614" i="26"/>
  <c r="K614" i="26"/>
  <c r="C615" i="26"/>
  <c r="E615" i="26"/>
  <c r="G615" i="26"/>
  <c r="K615" i="26"/>
  <c r="C616" i="26"/>
  <c r="E616" i="26"/>
  <c r="G616" i="26"/>
  <c r="K616" i="26"/>
  <c r="C617" i="26"/>
  <c r="E617" i="26"/>
  <c r="G617" i="26"/>
  <c r="K617" i="26"/>
  <c r="C618" i="26"/>
  <c r="E618" i="26"/>
  <c r="G618" i="26"/>
  <c r="K618" i="26"/>
  <c r="C619" i="26"/>
  <c r="E619" i="26"/>
  <c r="G619" i="26"/>
  <c r="K619" i="26"/>
  <c r="C620" i="26"/>
  <c r="E620" i="26"/>
  <c r="G620" i="26"/>
  <c r="K620" i="26"/>
  <c r="C621" i="26"/>
  <c r="E621" i="26"/>
  <c r="G621" i="26"/>
  <c r="K621" i="26"/>
  <c r="C622" i="26"/>
  <c r="E622" i="26"/>
  <c r="G622" i="26"/>
  <c r="K622" i="26"/>
  <c r="C623" i="26"/>
  <c r="E623" i="26"/>
  <c r="G623" i="26"/>
  <c r="K623" i="26"/>
  <c r="C624" i="26"/>
  <c r="E624" i="26"/>
  <c r="G624" i="26"/>
  <c r="K624" i="26"/>
  <c r="C625" i="26"/>
  <c r="E625" i="26"/>
  <c r="G625" i="26"/>
  <c r="K625" i="26"/>
  <c r="C626" i="26"/>
  <c r="E626" i="26"/>
  <c r="G626" i="26"/>
  <c r="K626" i="26"/>
  <c r="C627" i="26"/>
  <c r="E627" i="26"/>
  <c r="G627" i="26"/>
  <c r="K627" i="26"/>
  <c r="C628" i="26"/>
  <c r="E628" i="26"/>
  <c r="G628" i="26"/>
  <c r="K628" i="26"/>
  <c r="C629" i="26"/>
  <c r="E629" i="26"/>
  <c r="G629" i="26"/>
  <c r="K629" i="26"/>
  <c r="C630" i="26"/>
  <c r="E630" i="26"/>
  <c r="G630" i="26"/>
  <c r="K630" i="26"/>
  <c r="C631" i="26"/>
  <c r="E631" i="26"/>
  <c r="G631" i="26"/>
  <c r="K631" i="26"/>
  <c r="C632" i="26"/>
  <c r="E632" i="26"/>
  <c r="G632" i="26"/>
  <c r="K632" i="26"/>
  <c r="C633" i="26"/>
  <c r="E633" i="26"/>
  <c r="G633" i="26"/>
  <c r="K633" i="26"/>
  <c r="C634" i="26"/>
  <c r="E634" i="26"/>
  <c r="G634" i="26"/>
  <c r="K634" i="26"/>
  <c r="C635" i="26"/>
  <c r="E635" i="26"/>
  <c r="G635" i="26"/>
  <c r="K635" i="26"/>
  <c r="C636" i="26"/>
  <c r="E636" i="26"/>
  <c r="G636" i="26"/>
  <c r="K636" i="26"/>
  <c r="C637" i="26"/>
  <c r="E637" i="26"/>
  <c r="G637" i="26"/>
  <c r="K637" i="26"/>
  <c r="C638" i="26"/>
  <c r="E638" i="26"/>
  <c r="G638" i="26"/>
  <c r="K638" i="26"/>
  <c r="C639" i="26"/>
  <c r="E639" i="26"/>
  <c r="G639" i="26"/>
  <c r="K639" i="26"/>
  <c r="C640" i="26"/>
  <c r="E640" i="26"/>
  <c r="G640" i="26"/>
  <c r="K640" i="26"/>
  <c r="K643" i="26"/>
  <c r="K652" i="26"/>
  <c r="C653" i="26"/>
  <c r="E653" i="26"/>
  <c r="G653" i="26"/>
  <c r="K653" i="26"/>
  <c r="K656" i="26"/>
  <c r="C657" i="26"/>
  <c r="E657" i="26"/>
  <c r="G657" i="26"/>
  <c r="K657" i="26"/>
  <c r="C658" i="26"/>
  <c r="E658" i="26"/>
  <c r="G658" i="26"/>
  <c r="K658" i="26"/>
  <c r="C659" i="26"/>
  <c r="E659" i="26"/>
  <c r="G659" i="26"/>
  <c r="K659" i="26"/>
  <c r="C660" i="26"/>
  <c r="E660" i="26"/>
  <c r="G660" i="26"/>
  <c r="K660" i="26"/>
  <c r="C661" i="26"/>
  <c r="E661" i="26"/>
  <c r="G661" i="26"/>
  <c r="K661" i="26"/>
  <c r="C663" i="26"/>
  <c r="E663" i="26"/>
  <c r="G663" i="26"/>
  <c r="K663" i="26"/>
  <c r="C664" i="26"/>
  <c r="E664" i="26"/>
  <c r="G664" i="26"/>
  <c r="K664" i="26"/>
  <c r="C665" i="26"/>
  <c r="E665" i="26"/>
  <c r="G665" i="26"/>
  <c r="K665" i="26"/>
  <c r="C666" i="26"/>
  <c r="E666" i="26"/>
  <c r="G666" i="26"/>
  <c r="K666" i="26"/>
  <c r="C667" i="26"/>
  <c r="E667" i="26"/>
  <c r="G667" i="26"/>
  <c r="K667" i="26"/>
  <c r="C668" i="26"/>
  <c r="E668" i="26"/>
  <c r="G668" i="26"/>
  <c r="K668" i="26"/>
  <c r="C669" i="26"/>
  <c r="E669" i="26"/>
  <c r="G669" i="26"/>
  <c r="K669" i="26"/>
  <c r="C670" i="26"/>
  <c r="E670" i="26"/>
  <c r="G670" i="26"/>
  <c r="K670" i="26"/>
  <c r="C671" i="26"/>
  <c r="E671" i="26"/>
  <c r="G671" i="26"/>
  <c r="K671" i="26"/>
  <c r="C672" i="26"/>
  <c r="E672" i="26"/>
  <c r="G672" i="26"/>
  <c r="K672" i="26"/>
  <c r="C673" i="26"/>
  <c r="E673" i="26"/>
  <c r="G673" i="26"/>
  <c r="K673" i="26"/>
  <c r="C674" i="26"/>
  <c r="E674" i="26"/>
  <c r="G674" i="26"/>
  <c r="K674" i="26"/>
  <c r="C675" i="26"/>
  <c r="E675" i="26"/>
  <c r="G675" i="26"/>
  <c r="K675" i="26"/>
  <c r="K678" i="26"/>
  <c r="C679" i="26"/>
  <c r="E679" i="26"/>
  <c r="G679" i="26"/>
  <c r="K679" i="26"/>
  <c r="C680" i="26"/>
  <c r="E680" i="26"/>
  <c r="G680" i="26"/>
  <c r="K680" i="26"/>
  <c r="C681" i="26"/>
  <c r="E681" i="26"/>
  <c r="G681" i="26"/>
  <c r="K681" i="26"/>
  <c r="C682" i="26"/>
  <c r="E682" i="26"/>
  <c r="G682" i="26"/>
  <c r="K682" i="26"/>
  <c r="C683" i="26"/>
  <c r="E683" i="26"/>
  <c r="G683" i="26"/>
  <c r="K683" i="26"/>
  <c r="C684" i="26"/>
  <c r="E684" i="26"/>
  <c r="G684" i="26"/>
  <c r="K684" i="26"/>
  <c r="C685" i="26"/>
  <c r="E685" i="26"/>
  <c r="G685" i="26"/>
  <c r="K685" i="26"/>
  <c r="C686" i="26"/>
  <c r="E686" i="26"/>
  <c r="G686" i="26"/>
  <c r="K686" i="26"/>
  <c r="C687" i="26"/>
  <c r="E687" i="26"/>
  <c r="G687" i="26"/>
  <c r="K687" i="26"/>
  <c r="C688" i="26"/>
  <c r="E688" i="26"/>
  <c r="G688" i="26"/>
  <c r="K688" i="26"/>
  <c r="C689" i="26"/>
  <c r="E689" i="26"/>
  <c r="G689" i="26"/>
  <c r="K689" i="26"/>
  <c r="E690" i="26"/>
  <c r="G690" i="26"/>
  <c r="K690" i="26"/>
  <c r="C696" i="26"/>
  <c r="E696" i="26"/>
  <c r="G696" i="26"/>
  <c r="K696" i="26"/>
  <c r="C697" i="26"/>
  <c r="E697" i="26"/>
  <c r="G697" i="26"/>
  <c r="K697" i="26"/>
  <c r="C698" i="26"/>
  <c r="E698" i="26"/>
  <c r="G698" i="26"/>
  <c r="K698" i="26"/>
  <c r="C700" i="26"/>
  <c r="E700" i="26"/>
  <c r="G700" i="26"/>
  <c r="K700" i="26"/>
  <c r="C701" i="26"/>
  <c r="E701" i="26"/>
  <c r="G701" i="26"/>
  <c r="K701" i="26"/>
  <c r="C702" i="26"/>
  <c r="E702" i="26"/>
  <c r="G702" i="26"/>
  <c r="K702" i="26"/>
  <c r="C703" i="26"/>
  <c r="E703" i="26"/>
  <c r="G703" i="26"/>
  <c r="K703" i="26"/>
  <c r="C705" i="26"/>
  <c r="E705" i="26"/>
  <c r="G705" i="26"/>
  <c r="K705" i="26"/>
  <c r="C706" i="26"/>
  <c r="E706" i="26"/>
  <c r="G706" i="26"/>
  <c r="K706" i="26"/>
  <c r="C707" i="26"/>
  <c r="E707" i="26"/>
  <c r="G707" i="26"/>
  <c r="K707" i="26"/>
  <c r="C708" i="26"/>
  <c r="E708" i="26"/>
  <c r="G708" i="26"/>
  <c r="K708" i="26"/>
  <c r="C709" i="26"/>
  <c r="E709" i="26"/>
  <c r="G709" i="26"/>
  <c r="K709" i="26"/>
  <c r="C710" i="26"/>
  <c r="E710" i="26"/>
  <c r="G710" i="26"/>
  <c r="K710" i="26"/>
  <c r="C711" i="26"/>
  <c r="E711" i="26"/>
  <c r="G711" i="26"/>
  <c r="K711" i="26"/>
  <c r="C712" i="26"/>
  <c r="E712" i="26"/>
  <c r="G712" i="26"/>
  <c r="K712" i="26"/>
  <c r="C713" i="26"/>
  <c r="E713" i="26"/>
  <c r="G713" i="26"/>
  <c r="K713" i="26"/>
  <c r="C716" i="26"/>
  <c r="E716" i="26"/>
  <c r="G716" i="26"/>
  <c r="K716" i="26"/>
  <c r="C717" i="26"/>
  <c r="E717" i="26"/>
  <c r="G717" i="26"/>
  <c r="K717" i="26"/>
  <c r="C719" i="26"/>
  <c r="E719" i="26"/>
  <c r="G719" i="26"/>
  <c r="K719" i="26"/>
  <c r="K721" i="26"/>
  <c r="C722" i="26"/>
  <c r="E722" i="26"/>
  <c r="G722" i="26"/>
  <c r="K722" i="26"/>
  <c r="K725" i="26"/>
  <c r="C726" i="26"/>
  <c r="E726" i="26"/>
  <c r="G726" i="26"/>
  <c r="K726" i="26"/>
  <c r="C727" i="26"/>
  <c r="E727" i="26"/>
  <c r="G727" i="26"/>
  <c r="K727" i="26"/>
  <c r="C728" i="26"/>
  <c r="E728" i="26"/>
  <c r="G728" i="26"/>
  <c r="K728" i="26"/>
  <c r="C729" i="26"/>
  <c r="E729" i="26"/>
  <c r="G729" i="26"/>
  <c r="K729" i="26"/>
  <c r="C730" i="26"/>
  <c r="E730" i="26"/>
  <c r="G730" i="26"/>
  <c r="K730" i="26"/>
  <c r="C731" i="26"/>
  <c r="E731" i="26"/>
  <c r="G731" i="26"/>
  <c r="K731" i="26"/>
  <c r="C732" i="26"/>
  <c r="E732" i="26"/>
  <c r="G732" i="26"/>
  <c r="K732" i="26"/>
  <c r="C734" i="26"/>
  <c r="E734" i="26"/>
  <c r="G734" i="26"/>
  <c r="K734" i="26"/>
  <c r="C735" i="26"/>
  <c r="E735" i="26"/>
  <c r="G735" i="26"/>
  <c r="K735" i="26"/>
  <c r="C736" i="26"/>
  <c r="E736" i="26"/>
  <c r="G736" i="26"/>
  <c r="K736" i="26"/>
  <c r="C738" i="26"/>
  <c r="E738" i="26"/>
  <c r="G738" i="26"/>
  <c r="K738" i="26"/>
  <c r="C739" i="26"/>
  <c r="E739" i="26"/>
  <c r="G739" i="26"/>
  <c r="K739" i="26"/>
  <c r="C740" i="26"/>
  <c r="E740" i="26"/>
  <c r="G740" i="26"/>
  <c r="K740" i="26"/>
  <c r="C741" i="26"/>
  <c r="E741" i="26"/>
  <c r="G741" i="26"/>
  <c r="K741" i="26"/>
  <c r="C742" i="26"/>
  <c r="E742" i="26"/>
  <c r="G742" i="26"/>
  <c r="K742" i="26"/>
  <c r="C743" i="26"/>
  <c r="E743" i="26"/>
  <c r="G743" i="26"/>
  <c r="K743" i="26"/>
  <c r="C744" i="26"/>
  <c r="E744" i="26"/>
  <c r="G744" i="26"/>
  <c r="K744" i="26"/>
  <c r="C745" i="26"/>
  <c r="E745" i="26"/>
  <c r="G745" i="26"/>
  <c r="K745" i="26"/>
  <c r="C746" i="26"/>
  <c r="E746" i="26"/>
  <c r="G746" i="26"/>
  <c r="K746" i="26"/>
  <c r="C747" i="26"/>
  <c r="E747" i="26"/>
  <c r="G747" i="26"/>
  <c r="K747" i="26"/>
  <c r="C748" i="26"/>
  <c r="E748" i="26"/>
  <c r="G748" i="26"/>
  <c r="K748" i="26"/>
  <c r="C749" i="26"/>
  <c r="E749" i="26"/>
  <c r="G749" i="26"/>
  <c r="K749" i="26"/>
  <c r="C750" i="26"/>
  <c r="E750" i="26"/>
  <c r="G750" i="26"/>
  <c r="K750" i="26"/>
  <c r="C753" i="26"/>
  <c r="E753" i="26"/>
  <c r="G753" i="26"/>
  <c r="K753" i="26"/>
  <c r="C754" i="26"/>
  <c r="E754" i="26"/>
  <c r="G754" i="26"/>
  <c r="K754" i="26"/>
  <c r="C755" i="26"/>
  <c r="E755" i="26"/>
  <c r="G755" i="26"/>
  <c r="K755" i="26"/>
  <c r="C756" i="26"/>
  <c r="E756" i="26"/>
  <c r="G756" i="26"/>
  <c r="K756" i="26"/>
  <c r="C757" i="26"/>
  <c r="E757" i="26"/>
  <c r="G757" i="26"/>
  <c r="K757" i="26"/>
  <c r="C758" i="26"/>
  <c r="E758" i="26"/>
  <c r="G758" i="26"/>
  <c r="K758" i="26"/>
  <c r="C759" i="26"/>
  <c r="E759" i="26"/>
  <c r="G759" i="26"/>
  <c r="K759" i="26"/>
  <c r="C760" i="26"/>
  <c r="E760" i="26"/>
  <c r="G760" i="26"/>
  <c r="K760" i="26"/>
  <c r="C761" i="26"/>
  <c r="E761" i="26"/>
  <c r="G761" i="26"/>
  <c r="K761" i="26"/>
  <c r="C762" i="26"/>
  <c r="E762" i="26"/>
  <c r="G762" i="26"/>
  <c r="K762" i="26"/>
  <c r="C763" i="26"/>
  <c r="E763" i="26"/>
  <c r="G763" i="26"/>
  <c r="K763" i="26"/>
  <c r="K768" i="26"/>
  <c r="C769" i="26"/>
  <c r="E769" i="26"/>
  <c r="G769" i="26"/>
  <c r="K769" i="26"/>
  <c r="K772" i="26"/>
  <c r="K773" i="26"/>
  <c r="C777" i="26"/>
  <c r="E777" i="26"/>
  <c r="G777" i="26"/>
  <c r="K777" i="26"/>
  <c r="C778" i="26"/>
  <c r="E778" i="26"/>
  <c r="G778" i="26"/>
  <c r="K778" i="26"/>
  <c r="C779" i="26"/>
  <c r="E779" i="26"/>
  <c r="G779" i="26"/>
  <c r="K779" i="26"/>
  <c r="C780" i="26"/>
  <c r="E780" i="26"/>
  <c r="G780" i="26"/>
  <c r="K780" i="26"/>
  <c r="C781" i="26"/>
  <c r="E781" i="26"/>
  <c r="G781" i="26"/>
  <c r="K781" i="26"/>
  <c r="C782" i="26"/>
  <c r="E782" i="26"/>
  <c r="G782" i="26"/>
  <c r="K782" i="26"/>
  <c r="C783" i="26"/>
  <c r="E783" i="26"/>
  <c r="G783" i="26"/>
  <c r="K783" i="26"/>
  <c r="C784" i="26"/>
  <c r="E784" i="26"/>
  <c r="G784" i="26"/>
  <c r="K784" i="26"/>
  <c r="C785" i="26"/>
  <c r="E785" i="26"/>
  <c r="G785" i="26"/>
  <c r="K785" i="26"/>
  <c r="C786" i="26"/>
  <c r="E786" i="26"/>
  <c r="G786" i="26"/>
  <c r="K786" i="26"/>
  <c r="C787" i="26"/>
  <c r="E787" i="26"/>
  <c r="G787" i="26"/>
  <c r="K787" i="26"/>
  <c r="C788" i="26"/>
  <c r="E788" i="26"/>
  <c r="G788" i="26"/>
  <c r="K788" i="26"/>
  <c r="C789" i="26"/>
  <c r="E789" i="26"/>
  <c r="G789" i="26"/>
  <c r="K789" i="26"/>
  <c r="C790" i="26"/>
  <c r="E790" i="26"/>
  <c r="G790" i="26"/>
  <c r="K790" i="26"/>
  <c r="C791" i="26"/>
  <c r="E791" i="26"/>
  <c r="G791" i="26"/>
  <c r="K791" i="26"/>
  <c r="C792" i="26"/>
  <c r="E792" i="26"/>
  <c r="G792" i="26"/>
  <c r="K792" i="26"/>
  <c r="C793" i="26"/>
  <c r="E793" i="26"/>
  <c r="G793" i="26"/>
  <c r="K793" i="26"/>
  <c r="C794" i="26"/>
  <c r="E794" i="26"/>
  <c r="G794" i="26"/>
  <c r="K794" i="26"/>
  <c r="C795" i="26"/>
  <c r="E795" i="26"/>
  <c r="G795" i="26"/>
  <c r="K795" i="26"/>
  <c r="C796" i="26"/>
  <c r="E796" i="26"/>
  <c r="G796" i="26"/>
  <c r="K796" i="26"/>
  <c r="C797" i="26"/>
  <c r="E797" i="26"/>
  <c r="G797" i="26"/>
  <c r="K797" i="26"/>
  <c r="C798" i="26"/>
  <c r="E798" i="26"/>
  <c r="G798" i="26"/>
  <c r="K798" i="26"/>
  <c r="C799" i="26"/>
  <c r="E799" i="26"/>
  <c r="G799" i="26"/>
  <c r="K799" i="26"/>
  <c r="C800" i="26"/>
  <c r="E800" i="26"/>
  <c r="G800" i="26"/>
  <c r="K800" i="26"/>
  <c r="C801" i="26"/>
  <c r="E801" i="26"/>
  <c r="G801" i="26"/>
  <c r="K801" i="26"/>
  <c r="C802" i="26"/>
  <c r="E802" i="26"/>
  <c r="G802" i="26"/>
  <c r="K802" i="26"/>
  <c r="C803" i="26"/>
  <c r="E803" i="26"/>
  <c r="G803" i="26"/>
  <c r="K803" i="26"/>
  <c r="C804" i="26"/>
  <c r="E804" i="26"/>
  <c r="G804" i="26"/>
  <c r="K804" i="26"/>
  <c r="C805" i="26"/>
  <c r="E805" i="26"/>
  <c r="G805" i="26"/>
  <c r="K805" i="26"/>
  <c r="C806" i="26"/>
  <c r="E806" i="26"/>
  <c r="G806" i="26"/>
  <c r="K806" i="26"/>
  <c r="C807" i="26"/>
  <c r="E807" i="26"/>
  <c r="G807" i="26"/>
  <c r="K807" i="26"/>
  <c r="C808" i="26"/>
  <c r="E808" i="26"/>
  <c r="G808" i="26"/>
  <c r="K808" i="26"/>
  <c r="C809" i="26"/>
  <c r="E809" i="26"/>
  <c r="G809" i="26"/>
  <c r="K809" i="26"/>
  <c r="C810" i="26"/>
  <c r="E810" i="26"/>
  <c r="G810" i="26"/>
  <c r="K810" i="26"/>
  <c r="C811" i="26"/>
  <c r="E811" i="26"/>
  <c r="G811" i="26"/>
  <c r="K811" i="26"/>
  <c r="C812" i="26"/>
  <c r="E812" i="26"/>
  <c r="G812" i="26"/>
  <c r="K812" i="26"/>
  <c r="C813" i="26"/>
  <c r="E813" i="26"/>
  <c r="G813" i="26"/>
  <c r="K813" i="26"/>
  <c r="C814" i="26"/>
  <c r="E814" i="26"/>
  <c r="G814" i="26"/>
  <c r="K814" i="26"/>
  <c r="C815" i="26"/>
  <c r="E815" i="26"/>
  <c r="G815" i="26"/>
  <c r="K815" i="26"/>
  <c r="C816" i="26"/>
  <c r="E816" i="26"/>
  <c r="G816" i="26"/>
  <c r="K816" i="26"/>
  <c r="C817" i="26"/>
  <c r="E817" i="26"/>
  <c r="G817" i="26"/>
  <c r="K817" i="26"/>
  <c r="C818" i="26"/>
  <c r="E818" i="26"/>
  <c r="G818" i="26"/>
  <c r="K818" i="26"/>
  <c r="C819" i="26"/>
  <c r="E819" i="26"/>
  <c r="G819" i="26"/>
  <c r="K819" i="26"/>
  <c r="K820" i="26"/>
  <c r="C821" i="26"/>
  <c r="E821" i="26"/>
  <c r="G821" i="26"/>
  <c r="K821" i="26"/>
  <c r="C824" i="26"/>
  <c r="E824" i="26"/>
  <c r="G824" i="26"/>
  <c r="K824" i="26"/>
  <c r="C825" i="26"/>
  <c r="E825" i="26"/>
  <c r="G825" i="26"/>
  <c r="K825" i="26"/>
  <c r="C826" i="26"/>
  <c r="E826" i="26"/>
  <c r="G826" i="26"/>
  <c r="K826" i="26"/>
  <c r="C827" i="26"/>
  <c r="E827" i="26"/>
  <c r="G827" i="26"/>
  <c r="K827" i="26"/>
  <c r="C828" i="26"/>
  <c r="E828" i="26"/>
  <c r="G828" i="26"/>
  <c r="K828" i="26"/>
  <c r="C829" i="26"/>
  <c r="E829" i="26"/>
  <c r="G829" i="26"/>
  <c r="K829" i="26"/>
  <c r="C830" i="26"/>
  <c r="E830" i="26"/>
  <c r="G830" i="26"/>
  <c r="K830" i="26"/>
  <c r="C831" i="26"/>
  <c r="E831" i="26"/>
  <c r="G831" i="26"/>
  <c r="K831" i="26"/>
  <c r="C832" i="26"/>
  <c r="E832" i="26"/>
  <c r="G832" i="26"/>
  <c r="K832" i="26"/>
  <c r="C833" i="26"/>
  <c r="E833" i="26"/>
  <c r="G833" i="26"/>
  <c r="K833" i="26"/>
  <c r="C834" i="26"/>
  <c r="E834" i="26"/>
  <c r="G834" i="26"/>
  <c r="K834" i="26"/>
  <c r="C835" i="26"/>
  <c r="E835" i="26"/>
  <c r="G835" i="26"/>
  <c r="K835" i="26"/>
  <c r="C836" i="26"/>
  <c r="E836" i="26"/>
  <c r="G836" i="26"/>
  <c r="K836" i="26"/>
  <c r="C837" i="26"/>
  <c r="E837" i="26"/>
  <c r="G837" i="26"/>
  <c r="K837" i="26"/>
  <c r="C838" i="26"/>
  <c r="E838" i="26"/>
  <c r="G838" i="26"/>
  <c r="K838" i="26"/>
  <c r="C839" i="26"/>
  <c r="E839" i="26"/>
  <c r="G839" i="26"/>
  <c r="K839" i="26"/>
  <c r="C841" i="26"/>
  <c r="E841" i="26"/>
  <c r="G841" i="26"/>
  <c r="K841" i="26"/>
  <c r="C842" i="26"/>
  <c r="E842" i="26"/>
  <c r="G842" i="26"/>
  <c r="K842" i="26"/>
  <c r="C843" i="26"/>
  <c r="E843" i="26"/>
  <c r="G843" i="26"/>
  <c r="K843" i="26"/>
  <c r="C844" i="26"/>
  <c r="E844" i="26"/>
  <c r="G844" i="26"/>
  <c r="K844" i="26"/>
  <c r="C845" i="26"/>
  <c r="E845" i="26"/>
  <c r="G845" i="26"/>
  <c r="K845" i="26"/>
  <c r="C846" i="26"/>
  <c r="E846" i="26"/>
  <c r="G846" i="26"/>
  <c r="K846" i="26"/>
  <c r="C847" i="26"/>
  <c r="E847" i="26"/>
  <c r="G847" i="26"/>
  <c r="K847" i="26"/>
  <c r="C848" i="26"/>
  <c r="E848" i="26"/>
  <c r="G848" i="26"/>
  <c r="K848" i="26"/>
  <c r="K849" i="26"/>
  <c r="C850" i="26"/>
  <c r="E850" i="26"/>
  <c r="G850" i="26"/>
  <c r="K850" i="26"/>
  <c r="C851" i="26"/>
  <c r="E851" i="26"/>
  <c r="G851" i="26"/>
  <c r="K851" i="26"/>
  <c r="C852" i="26"/>
  <c r="E852" i="26"/>
  <c r="G852" i="26"/>
  <c r="K852" i="26"/>
  <c r="C853" i="26"/>
  <c r="E853" i="26"/>
  <c r="G853" i="26"/>
  <c r="K853" i="26"/>
  <c r="C854" i="26"/>
  <c r="E854" i="26"/>
  <c r="G854" i="26"/>
  <c r="K854" i="26"/>
  <c r="C855" i="26"/>
  <c r="E855" i="26"/>
  <c r="G855" i="26"/>
  <c r="K855" i="26"/>
  <c r="C856" i="26"/>
  <c r="E856" i="26"/>
  <c r="G856" i="26"/>
  <c r="K856" i="26"/>
  <c r="C857" i="26"/>
  <c r="E857" i="26"/>
  <c r="G857" i="26"/>
  <c r="K857" i="26"/>
  <c r="C858" i="26"/>
  <c r="E858" i="26"/>
  <c r="G858" i="26"/>
  <c r="K858" i="26"/>
  <c r="C860" i="26"/>
  <c r="E860" i="26"/>
  <c r="G860" i="26"/>
  <c r="K860" i="26"/>
  <c r="C861" i="26"/>
  <c r="E861" i="26"/>
  <c r="G861" i="26"/>
  <c r="K861" i="26"/>
  <c r="C862" i="26"/>
  <c r="E862" i="26"/>
  <c r="G862" i="26"/>
  <c r="K862" i="26"/>
  <c r="K863" i="26"/>
  <c r="K864" i="26"/>
  <c r="K865" i="26"/>
  <c r="C866" i="26"/>
  <c r="D866" i="26" s="1"/>
  <c r="F110" i="5" s="1"/>
  <c r="E866" i="26"/>
  <c r="F866" i="26" s="1"/>
  <c r="G110" i="5" s="1"/>
  <c r="G866" i="26"/>
  <c r="H866" i="26" s="1"/>
  <c r="H110" i="5" s="1"/>
  <c r="K866" i="26"/>
  <c r="K867" i="26"/>
  <c r="C868" i="26"/>
  <c r="D868" i="26" s="1"/>
  <c r="F111" i="5" s="1"/>
  <c r="F385" i="5" s="1"/>
  <c r="E868" i="26"/>
  <c r="G868" i="26"/>
  <c r="H868" i="26" s="1"/>
  <c r="H111" i="5" s="1"/>
  <c r="G385" i="5" s="1"/>
  <c r="G393" i="5" s="1"/>
  <c r="K868" i="26"/>
  <c r="K869" i="26"/>
  <c r="C870" i="26"/>
  <c r="E870" i="26"/>
  <c r="G870" i="26"/>
  <c r="K870" i="26"/>
  <c r="C871" i="26"/>
  <c r="E871" i="26"/>
  <c r="G871" i="26"/>
  <c r="K871" i="26"/>
  <c r="C872" i="26"/>
  <c r="E872" i="26"/>
  <c r="G872" i="26"/>
  <c r="K872" i="26"/>
  <c r="C873" i="26"/>
  <c r="E873" i="26"/>
  <c r="G873" i="26"/>
  <c r="K873" i="26"/>
  <c r="C874" i="26"/>
  <c r="E874" i="26"/>
  <c r="G874" i="26"/>
  <c r="K874" i="26"/>
  <c r="K877" i="26"/>
  <c r="C878" i="26"/>
  <c r="E878" i="26"/>
  <c r="G878" i="26"/>
  <c r="K878" i="26"/>
  <c r="C879" i="26"/>
  <c r="E879" i="26"/>
  <c r="G879" i="26"/>
  <c r="K879" i="26"/>
  <c r="C880" i="26"/>
  <c r="E880" i="26"/>
  <c r="G880" i="26"/>
  <c r="K880" i="26"/>
  <c r="C882" i="26"/>
  <c r="E882" i="26"/>
  <c r="G882" i="26"/>
  <c r="K882" i="26"/>
  <c r="C883" i="26"/>
  <c r="E883" i="26"/>
  <c r="G883" i="26"/>
  <c r="K883" i="26"/>
  <c r="C886" i="26"/>
  <c r="E886" i="26"/>
  <c r="G886" i="26"/>
  <c r="K886" i="26"/>
  <c r="C887" i="26"/>
  <c r="E887" i="26"/>
  <c r="G887" i="26"/>
  <c r="K887" i="26"/>
  <c r="K888" i="26"/>
  <c r="K889" i="26"/>
  <c r="C890" i="26"/>
  <c r="D890" i="26" s="1"/>
  <c r="E890" i="26"/>
  <c r="F890" i="26" s="1"/>
  <c r="G890" i="26"/>
  <c r="H890" i="26" s="1"/>
  <c r="K890" i="26"/>
  <c r="K891" i="26"/>
  <c r="K892" i="26"/>
  <c r="C893" i="26"/>
  <c r="E893" i="26"/>
  <c r="G893" i="26"/>
  <c r="K893" i="26"/>
  <c r="C894" i="26"/>
  <c r="E894" i="26"/>
  <c r="G894" i="26"/>
  <c r="K894" i="26"/>
  <c r="C895" i="26"/>
  <c r="E895" i="26"/>
  <c r="G895" i="26"/>
  <c r="K895" i="26"/>
  <c r="C896" i="26"/>
  <c r="E896" i="26"/>
  <c r="G896" i="26"/>
  <c r="K896" i="26"/>
  <c r="K899" i="26"/>
  <c r="C900" i="26"/>
  <c r="E900" i="26"/>
  <c r="G900" i="26"/>
  <c r="K900" i="26"/>
  <c r="C901" i="26"/>
  <c r="E901" i="26"/>
  <c r="G901" i="26"/>
  <c r="K901" i="26"/>
  <c r="K904" i="26"/>
  <c r="C905" i="26"/>
  <c r="E905" i="26"/>
  <c r="G905" i="26"/>
  <c r="K905" i="26"/>
  <c r="C907" i="26"/>
  <c r="E907" i="26"/>
  <c r="G907" i="26"/>
  <c r="K907" i="26"/>
  <c r="C908" i="26"/>
  <c r="E908" i="26"/>
  <c r="G908" i="26"/>
  <c r="K908" i="26"/>
  <c r="C909" i="26"/>
  <c r="E909" i="26"/>
  <c r="G909" i="26"/>
  <c r="K909" i="26"/>
  <c r="C910" i="26"/>
  <c r="E910" i="26"/>
  <c r="G910" i="26"/>
  <c r="K910" i="26"/>
  <c r="C911" i="26"/>
  <c r="E911" i="26"/>
  <c r="G911" i="26"/>
  <c r="K911" i="26"/>
  <c r="C912" i="26"/>
  <c r="E912" i="26"/>
  <c r="G912" i="26"/>
  <c r="K912" i="26"/>
  <c r="C913" i="26"/>
  <c r="E913" i="26"/>
  <c r="G913" i="26"/>
  <c r="K913" i="26"/>
  <c r="C916" i="26"/>
  <c r="E916" i="26"/>
  <c r="G916" i="26"/>
  <c r="K916" i="26"/>
  <c r="C917" i="26"/>
  <c r="E917" i="26"/>
  <c r="G917" i="26"/>
  <c r="K917" i="26"/>
  <c r="C918" i="26"/>
  <c r="E918" i="26"/>
  <c r="G918" i="26"/>
  <c r="K918" i="26"/>
  <c r="C919" i="26"/>
  <c r="E919" i="26"/>
  <c r="G919" i="26"/>
  <c r="K919" i="26"/>
  <c r="C920" i="26"/>
  <c r="E920" i="26"/>
  <c r="G920" i="26"/>
  <c r="K920" i="26"/>
  <c r="C921" i="26"/>
  <c r="E921" i="26"/>
  <c r="G921" i="26"/>
  <c r="K921" i="26"/>
  <c r="C922" i="26"/>
  <c r="E922" i="26"/>
  <c r="G922" i="26"/>
  <c r="K922" i="26"/>
  <c r="C923" i="26"/>
  <c r="E923" i="26"/>
  <c r="G923" i="26"/>
  <c r="K923" i="26"/>
  <c r="C924" i="26"/>
  <c r="E924" i="26"/>
  <c r="G924" i="26"/>
  <c r="K924" i="26"/>
  <c r="C925" i="26"/>
  <c r="E925" i="26"/>
  <c r="G925" i="26"/>
  <c r="K925" i="26"/>
  <c r="C926" i="26"/>
  <c r="E926" i="26"/>
  <c r="G926" i="26"/>
  <c r="K926" i="26"/>
  <c r="C927" i="26"/>
  <c r="E927" i="26"/>
  <c r="G927" i="26"/>
  <c r="K927" i="26"/>
  <c r="C928" i="26"/>
  <c r="E928" i="26"/>
  <c r="G928" i="26"/>
  <c r="K928" i="26"/>
  <c r="K931" i="26"/>
  <c r="C932" i="26"/>
  <c r="E932" i="26"/>
  <c r="G932" i="26"/>
  <c r="K932" i="26"/>
  <c r="C933" i="26"/>
  <c r="E933" i="26"/>
  <c r="G933" i="26"/>
  <c r="K933" i="26"/>
  <c r="C934" i="26"/>
  <c r="E934" i="26"/>
  <c r="G934" i="26"/>
  <c r="K934" i="26"/>
  <c r="C935" i="26"/>
  <c r="E935" i="26"/>
  <c r="G935" i="26"/>
  <c r="K935" i="26"/>
  <c r="C936" i="26"/>
  <c r="E936" i="26"/>
  <c r="G936" i="26"/>
  <c r="K936" i="26"/>
  <c r="C937" i="26"/>
  <c r="E937" i="26"/>
  <c r="G937" i="26"/>
  <c r="K937" i="26"/>
  <c r="C938" i="26"/>
  <c r="E938" i="26"/>
  <c r="G938" i="26"/>
  <c r="K938" i="26"/>
  <c r="C939" i="26"/>
  <c r="E939" i="26"/>
  <c r="G939" i="26"/>
  <c r="K939" i="26"/>
  <c r="C940" i="26"/>
  <c r="E940" i="26"/>
  <c r="G940" i="26"/>
  <c r="K940" i="26"/>
  <c r="C942" i="26"/>
  <c r="E942" i="26"/>
  <c r="G942" i="26"/>
  <c r="K942" i="26"/>
  <c r="C943" i="26"/>
  <c r="E943" i="26"/>
  <c r="G943" i="26"/>
  <c r="K943" i="26"/>
  <c r="C944" i="26"/>
  <c r="E944" i="26"/>
  <c r="G944" i="26"/>
  <c r="K944" i="26"/>
  <c r="C945" i="26"/>
  <c r="E945" i="26"/>
  <c r="G945" i="26"/>
  <c r="K945" i="26"/>
  <c r="C946" i="26"/>
  <c r="E946" i="26"/>
  <c r="G946" i="26"/>
  <c r="K946" i="26"/>
  <c r="C948" i="26"/>
  <c r="E948" i="26"/>
  <c r="G948" i="26"/>
  <c r="K948" i="26"/>
  <c r="C950" i="26"/>
  <c r="E950" i="26"/>
  <c r="G950" i="26"/>
  <c r="K950" i="26"/>
  <c r="C951" i="26"/>
  <c r="E951" i="26"/>
  <c r="G951" i="26"/>
  <c r="K951" i="26"/>
  <c r="C952" i="26"/>
  <c r="E952" i="26"/>
  <c r="G952" i="26"/>
  <c r="K952" i="26"/>
  <c r="C953" i="26"/>
  <c r="E953" i="26"/>
  <c r="G953" i="26"/>
  <c r="K953" i="26"/>
  <c r="C954" i="26"/>
  <c r="E954" i="26"/>
  <c r="G954" i="26"/>
  <c r="K954" i="26"/>
  <c r="C955" i="26"/>
  <c r="E955" i="26"/>
  <c r="G955" i="26"/>
  <c r="K955" i="26"/>
  <c r="C956" i="26"/>
  <c r="E956" i="26"/>
  <c r="G956" i="26"/>
  <c r="K956" i="26"/>
  <c r="C957" i="26"/>
  <c r="E957" i="26"/>
  <c r="G957" i="26"/>
  <c r="K957" i="26"/>
  <c r="C958" i="26"/>
  <c r="E958" i="26"/>
  <c r="G958" i="26"/>
  <c r="K958" i="26"/>
  <c r="C960" i="26"/>
  <c r="E960" i="26"/>
  <c r="G960" i="26"/>
  <c r="K960" i="26"/>
  <c r="K961" i="26"/>
  <c r="K962" i="26"/>
  <c r="C963" i="26"/>
  <c r="E963" i="26"/>
  <c r="G963" i="26"/>
  <c r="K963" i="26"/>
  <c r="C964" i="26"/>
  <c r="E964" i="26"/>
  <c r="G964" i="26"/>
  <c r="K964" i="26"/>
  <c r="C965" i="26"/>
  <c r="E965" i="26"/>
  <c r="G965" i="26"/>
  <c r="K965" i="26"/>
  <c r="C966" i="26"/>
  <c r="E966" i="26"/>
  <c r="G966" i="26"/>
  <c r="K966" i="26"/>
  <c r="C967" i="26"/>
  <c r="E967" i="26"/>
  <c r="G967" i="26"/>
  <c r="K967" i="26"/>
  <c r="C968" i="26"/>
  <c r="E968" i="26"/>
  <c r="G968" i="26"/>
  <c r="K968" i="26"/>
  <c r="C969" i="26"/>
  <c r="E969" i="26"/>
  <c r="G969" i="26"/>
  <c r="K969" i="26"/>
  <c r="C970" i="26"/>
  <c r="E970" i="26"/>
  <c r="G970" i="26"/>
  <c r="K970" i="26"/>
  <c r="C971" i="26"/>
  <c r="E971" i="26"/>
  <c r="G971" i="26"/>
  <c r="K971" i="26"/>
  <c r="C972" i="26"/>
  <c r="E972" i="26"/>
  <c r="G972" i="26"/>
  <c r="K972" i="26"/>
  <c r="C973" i="26"/>
  <c r="E973" i="26"/>
  <c r="G973" i="26"/>
  <c r="K973" i="26"/>
  <c r="C975" i="26"/>
  <c r="E975" i="26"/>
  <c r="G975" i="26"/>
  <c r="K975" i="26"/>
  <c r="C976" i="26"/>
  <c r="E976" i="26"/>
  <c r="G976" i="26"/>
  <c r="K976" i="26"/>
  <c r="K977" i="26"/>
  <c r="C978" i="26"/>
  <c r="E978" i="26"/>
  <c r="G978" i="26"/>
  <c r="K978" i="26"/>
  <c r="C979" i="26"/>
  <c r="E979" i="26"/>
  <c r="G979" i="26"/>
  <c r="K979" i="26"/>
  <c r="C980" i="26"/>
  <c r="E980" i="26"/>
  <c r="G980" i="26"/>
  <c r="K980" i="26"/>
  <c r="K981" i="26"/>
  <c r="C982" i="26"/>
  <c r="E982" i="26"/>
  <c r="G982" i="26"/>
  <c r="K982" i="26"/>
  <c r="C983" i="26"/>
  <c r="E983" i="26"/>
  <c r="G983" i="26"/>
  <c r="K983" i="26"/>
  <c r="C984" i="26"/>
  <c r="E984" i="26"/>
  <c r="G984" i="26"/>
  <c r="K984" i="26"/>
  <c r="K985" i="26"/>
  <c r="K986" i="26"/>
  <c r="K987" i="26"/>
  <c r="C988" i="26"/>
  <c r="E988" i="26"/>
  <c r="G988" i="26"/>
  <c r="K988" i="26"/>
  <c r="C991" i="26"/>
  <c r="E991" i="26"/>
  <c r="G991" i="26"/>
  <c r="K991" i="26"/>
  <c r="C993" i="26"/>
  <c r="E993" i="26"/>
  <c r="G993" i="26"/>
  <c r="K993" i="26"/>
  <c r="C995" i="26"/>
  <c r="E995" i="26"/>
  <c r="G995" i="26"/>
  <c r="K995" i="26"/>
  <c r="C996" i="26"/>
  <c r="E996" i="26"/>
  <c r="G996" i="26"/>
  <c r="K996" i="26"/>
  <c r="C997" i="26"/>
  <c r="E997" i="26"/>
  <c r="G997" i="26"/>
  <c r="K997" i="26"/>
  <c r="K1000" i="26"/>
  <c r="C1001" i="26"/>
  <c r="D1001" i="26" s="1"/>
  <c r="F130" i="5" s="1"/>
  <c r="E1001" i="26"/>
  <c r="G1001" i="26"/>
  <c r="H1001" i="26" s="1"/>
  <c r="H130" i="5" s="1"/>
  <c r="K1001" i="26"/>
  <c r="K1006" i="26"/>
  <c r="C1007" i="26"/>
  <c r="E1007" i="26"/>
  <c r="G1007" i="26"/>
  <c r="K1007" i="26"/>
  <c r="C1008" i="26"/>
  <c r="E1008" i="26"/>
  <c r="G1008" i="26"/>
  <c r="K1008" i="26"/>
  <c r="C1009" i="26"/>
  <c r="E1009" i="26"/>
  <c r="G1009" i="26"/>
  <c r="K1009" i="26"/>
  <c r="K1011" i="26"/>
  <c r="C1012" i="26"/>
  <c r="E1012" i="26"/>
  <c r="G1012" i="26"/>
  <c r="K1012" i="26"/>
  <c r="C1013" i="26"/>
  <c r="E1013" i="26"/>
  <c r="G1013" i="26"/>
  <c r="K1013" i="26"/>
  <c r="C1014" i="26"/>
  <c r="E1014" i="26"/>
  <c r="G1014" i="26"/>
  <c r="K1014" i="26"/>
  <c r="K1016" i="26"/>
  <c r="C1017" i="26"/>
  <c r="E1017" i="26"/>
  <c r="G1017" i="26"/>
  <c r="K1017" i="26"/>
  <c r="C1018" i="26"/>
  <c r="E1018" i="26"/>
  <c r="G1018" i="26"/>
  <c r="K1018" i="26"/>
  <c r="C1019" i="26"/>
  <c r="E1019" i="26"/>
  <c r="G1019" i="26"/>
  <c r="K1019" i="26"/>
  <c r="K1021" i="26"/>
  <c r="C1022" i="26"/>
  <c r="E1022" i="26"/>
  <c r="G1022" i="26"/>
  <c r="K1022" i="26"/>
  <c r="C1023" i="26"/>
  <c r="E1023" i="26"/>
  <c r="G1023" i="26"/>
  <c r="K1023" i="26"/>
  <c r="C1024" i="26"/>
  <c r="E1024" i="26"/>
  <c r="G1024" i="26"/>
  <c r="K1024" i="26"/>
  <c r="C1025" i="26"/>
  <c r="E1025" i="26"/>
  <c r="G1025" i="26"/>
  <c r="K1025" i="26"/>
  <c r="C1026" i="26"/>
  <c r="E1026" i="26"/>
  <c r="G1026" i="26"/>
  <c r="K1026" i="26"/>
  <c r="C1028" i="26"/>
  <c r="E1028" i="26"/>
  <c r="G1028" i="26"/>
  <c r="K1028" i="26"/>
  <c r="K1029" i="26"/>
  <c r="K1030" i="26"/>
  <c r="C1031" i="26"/>
  <c r="E1031" i="26"/>
  <c r="G1031" i="26"/>
  <c r="H1031" i="26" s="1"/>
  <c r="H135" i="5" s="1"/>
  <c r="K1031" i="26"/>
  <c r="K1032" i="26"/>
  <c r="C1033" i="26"/>
  <c r="E1033" i="26"/>
  <c r="G1033" i="26"/>
  <c r="H1033" i="26" s="1"/>
  <c r="H136" i="5" s="1"/>
  <c r="K1033" i="26"/>
  <c r="K1034" i="26"/>
  <c r="C1035" i="26"/>
  <c r="E1035" i="26"/>
  <c r="G1035" i="26"/>
  <c r="K1035" i="26"/>
  <c r="C1036" i="26"/>
  <c r="E1036" i="26"/>
  <c r="G1036" i="26"/>
  <c r="K1036" i="26"/>
  <c r="C1037" i="26"/>
  <c r="E1037" i="26"/>
  <c r="G1037" i="26"/>
  <c r="K1037" i="26"/>
  <c r="K1038" i="26"/>
  <c r="C1039" i="26"/>
  <c r="E1039" i="26"/>
  <c r="G1039" i="26"/>
  <c r="K1039" i="26"/>
  <c r="C1040" i="26"/>
  <c r="E1040" i="26"/>
  <c r="G1040" i="26"/>
  <c r="K1040" i="26"/>
  <c r="C1041" i="26"/>
  <c r="E1041" i="26"/>
  <c r="G1041" i="26"/>
  <c r="K1041" i="26"/>
  <c r="C1042" i="26"/>
  <c r="E1042" i="26"/>
  <c r="G1042" i="26"/>
  <c r="K1042" i="26"/>
  <c r="C1043" i="26"/>
  <c r="E1043" i="26"/>
  <c r="G1043" i="26"/>
  <c r="K1043" i="26"/>
  <c r="C1044" i="26"/>
  <c r="E1044" i="26"/>
  <c r="G1044" i="26"/>
  <c r="K1044" i="26"/>
  <c r="C1045" i="26"/>
  <c r="E1045" i="26"/>
  <c r="G1045" i="26"/>
  <c r="K1045" i="26"/>
  <c r="C1046" i="26"/>
  <c r="E1046" i="26"/>
  <c r="G1046" i="26"/>
  <c r="K1046" i="26"/>
  <c r="C1047" i="26"/>
  <c r="E1047" i="26"/>
  <c r="G1047" i="26"/>
  <c r="K1047" i="26"/>
  <c r="C1048" i="26"/>
  <c r="E1048" i="26"/>
  <c r="G1048" i="26"/>
  <c r="K1048" i="26"/>
  <c r="C1049" i="26"/>
  <c r="E1049" i="26"/>
  <c r="G1049" i="26"/>
  <c r="K1049" i="26"/>
  <c r="C1051" i="26"/>
  <c r="E1051" i="26"/>
  <c r="G1051" i="26"/>
  <c r="K1051" i="26"/>
  <c r="C1052" i="26"/>
  <c r="E1052" i="26"/>
  <c r="G1052" i="26"/>
  <c r="K1052" i="26"/>
  <c r="C1053" i="26"/>
  <c r="E1053" i="26"/>
  <c r="G1053" i="26"/>
  <c r="K1053" i="26"/>
  <c r="C1054" i="26"/>
  <c r="E1054" i="26"/>
  <c r="G1054" i="26"/>
  <c r="K1054" i="26"/>
  <c r="C1055" i="26"/>
  <c r="E1055" i="26"/>
  <c r="G1055" i="26"/>
  <c r="K1055" i="26"/>
  <c r="K1056" i="26"/>
  <c r="K1057" i="26"/>
  <c r="C1058" i="26"/>
  <c r="D1058" i="26" s="1"/>
  <c r="C24" i="1" s="1"/>
  <c r="E1058" i="26"/>
  <c r="G1058" i="26"/>
  <c r="H1058" i="26" s="1"/>
  <c r="E24" i="1" s="1"/>
  <c r="K1058" i="26"/>
  <c r="C1059" i="26"/>
  <c r="D1059" i="26" s="1"/>
  <c r="C25" i="1" s="1"/>
  <c r="E1059" i="26"/>
  <c r="G1059" i="26"/>
  <c r="H1059" i="26" s="1"/>
  <c r="K1059" i="26"/>
  <c r="C1060" i="26"/>
  <c r="D1060" i="26" s="1"/>
  <c r="C13" i="1" s="1"/>
  <c r="K1060" i="26"/>
  <c r="K1061" i="26"/>
  <c r="C1062" i="26"/>
  <c r="D1062" i="26" s="1"/>
  <c r="E1062" i="26"/>
  <c r="F1062" i="26" s="1"/>
  <c r="G1062" i="26"/>
  <c r="H1062" i="26" s="1"/>
  <c r="E23" i="1" s="1"/>
  <c r="K1062" i="26"/>
  <c r="K1063" i="26"/>
  <c r="K1064" i="26"/>
  <c r="C775" i="26"/>
  <c r="E775" i="26"/>
  <c r="G775" i="26"/>
  <c r="K775" i="26"/>
  <c r="C1065" i="26"/>
  <c r="E1065" i="26"/>
  <c r="G1065" i="26"/>
  <c r="K1065" i="26"/>
  <c r="C1066" i="26"/>
  <c r="E1066" i="26"/>
  <c r="G1066" i="26"/>
  <c r="K1066" i="26"/>
  <c r="C1067" i="26"/>
  <c r="E1067" i="26"/>
  <c r="G1067" i="26"/>
  <c r="K1067" i="26"/>
  <c r="C906" i="26"/>
  <c r="E906" i="26"/>
  <c r="G906" i="26"/>
  <c r="K906" i="26"/>
  <c r="C1068" i="26"/>
  <c r="E1068" i="26"/>
  <c r="G1068" i="26"/>
  <c r="K1068" i="26"/>
  <c r="C1069" i="26"/>
  <c r="E1069" i="26"/>
  <c r="G1069" i="26"/>
  <c r="K1069" i="26"/>
  <c r="C273" i="26"/>
  <c r="E273" i="26"/>
  <c r="G273" i="26"/>
  <c r="K273" i="26"/>
  <c r="C1070" i="26"/>
  <c r="E1070" i="26"/>
  <c r="G1070" i="26"/>
  <c r="K1070" i="26"/>
  <c r="C776" i="26"/>
  <c r="E776" i="26"/>
  <c r="G776" i="26"/>
  <c r="K776" i="26"/>
  <c r="C1071" i="26"/>
  <c r="E1071" i="26"/>
  <c r="G1071" i="26"/>
  <c r="K1071" i="26"/>
  <c r="C1072" i="26"/>
  <c r="E1072" i="26"/>
  <c r="G1072" i="26"/>
  <c r="K1072" i="26"/>
  <c r="C1073" i="26"/>
  <c r="E1073" i="26"/>
  <c r="G1073" i="26"/>
  <c r="K1073" i="26"/>
  <c r="C1074" i="26"/>
  <c r="E1074" i="26"/>
  <c r="G1074" i="26"/>
  <c r="K1074" i="26"/>
  <c r="C1075" i="26"/>
  <c r="E1075" i="26"/>
  <c r="G1075" i="26"/>
  <c r="K1075" i="26"/>
  <c r="C1076" i="26"/>
  <c r="E1076" i="26"/>
  <c r="G1076" i="26"/>
  <c r="K1076" i="26"/>
  <c r="C1077" i="26"/>
  <c r="E1077" i="26"/>
  <c r="G1077" i="26"/>
  <c r="K1077" i="26"/>
  <c r="C1078" i="26"/>
  <c r="E1078" i="26"/>
  <c r="G1078" i="26"/>
  <c r="K1078" i="26"/>
  <c r="C1079" i="26"/>
  <c r="E1079" i="26"/>
  <c r="G1079" i="26"/>
  <c r="K1079" i="26"/>
  <c r="C1080" i="26"/>
  <c r="E1080" i="26"/>
  <c r="G1080" i="26"/>
  <c r="K1080" i="26"/>
  <c r="C1081" i="26"/>
  <c r="E1081" i="26"/>
  <c r="G1081" i="26"/>
  <c r="K1081" i="26"/>
  <c r="C334" i="26"/>
  <c r="E334" i="26"/>
  <c r="G334" i="26"/>
  <c r="K334" i="26"/>
  <c r="C1082" i="26"/>
  <c r="E1082" i="26"/>
  <c r="G1082" i="26"/>
  <c r="K1082" i="26"/>
  <c r="C1083" i="26"/>
  <c r="E1083" i="26"/>
  <c r="G1083" i="26"/>
  <c r="K1083" i="26"/>
  <c r="C1084" i="26"/>
  <c r="E1084" i="26"/>
  <c r="G1084" i="26"/>
  <c r="K1084" i="26"/>
  <c r="C1085" i="26"/>
  <c r="E1085" i="26"/>
  <c r="G1085" i="26"/>
  <c r="K1085" i="26"/>
  <c r="C1086" i="26"/>
  <c r="E1086" i="26"/>
  <c r="G1086" i="26"/>
  <c r="K1086" i="26"/>
  <c r="C859" i="26"/>
  <c r="E859" i="26"/>
  <c r="G859" i="26"/>
  <c r="K859" i="26"/>
  <c r="C1087" i="26"/>
  <c r="E1087" i="26"/>
  <c r="G1087" i="26"/>
  <c r="K1087" i="26"/>
  <c r="C1088" i="26"/>
  <c r="E1088" i="26"/>
  <c r="G1088" i="26"/>
  <c r="K1088" i="26"/>
  <c r="C1089" i="26"/>
  <c r="E1089" i="26"/>
  <c r="G1089" i="26"/>
  <c r="K1089" i="26"/>
  <c r="C1090" i="26"/>
  <c r="E1090" i="26"/>
  <c r="G1090" i="26"/>
  <c r="K1090" i="26"/>
  <c r="C823" i="26"/>
  <c r="E823" i="26"/>
  <c r="G823" i="26"/>
  <c r="K823" i="26"/>
  <c r="C192" i="26"/>
  <c r="E192" i="26"/>
  <c r="G192" i="26"/>
  <c r="K192" i="26"/>
  <c r="K1091" i="26"/>
  <c r="K1092" i="26"/>
  <c r="K1093" i="26"/>
  <c r="C1095" i="26"/>
  <c r="E1095" i="26"/>
  <c r="G1095" i="26"/>
  <c r="K1095" i="26"/>
  <c r="C1100" i="26"/>
  <c r="E1100" i="26"/>
  <c r="G1100" i="26"/>
  <c r="K1100" i="26"/>
  <c r="C1102" i="26"/>
  <c r="E1102" i="26"/>
  <c r="G1102" i="26"/>
  <c r="K1102" i="26"/>
  <c r="K1123" i="26"/>
  <c r="C1124" i="26"/>
  <c r="E1124" i="26"/>
  <c r="G1124" i="26"/>
  <c r="K1124" i="26"/>
  <c r="C1125" i="26"/>
  <c r="E1125" i="26"/>
  <c r="G1125" i="26"/>
  <c r="K1125" i="26"/>
  <c r="K1126" i="26"/>
  <c r="K1140" i="26"/>
  <c r="K1141" i="26"/>
  <c r="C1142" i="26"/>
  <c r="E1142" i="26"/>
  <c r="G1142" i="26"/>
  <c r="K1142" i="26"/>
  <c r="C1144" i="26"/>
  <c r="E1144" i="26"/>
  <c r="F1144" i="26" s="1"/>
  <c r="G176" i="5" s="1"/>
  <c r="G1144" i="26"/>
  <c r="K1144" i="26"/>
  <c r="C1145" i="26"/>
  <c r="D1145" i="26" s="1"/>
  <c r="F177" i="5" s="1"/>
  <c r="E1145" i="26"/>
  <c r="F1145" i="26" s="1"/>
  <c r="G1145" i="26"/>
  <c r="H1145" i="26" s="1"/>
  <c r="H177" i="5" s="1"/>
  <c r="K1145" i="26"/>
  <c r="C1146" i="26"/>
  <c r="D1146" i="26" s="1"/>
  <c r="F180" i="5" s="1"/>
  <c r="E1146" i="26"/>
  <c r="F1146" i="26" s="1"/>
  <c r="G180" i="5" s="1"/>
  <c r="G1146" i="26"/>
  <c r="H1146" i="26" s="1"/>
  <c r="H180" i="5" s="1"/>
  <c r="K1146" i="26"/>
  <c r="C1147" i="26"/>
  <c r="D1147" i="26" s="1"/>
  <c r="F178" i="5" s="1"/>
  <c r="F183" i="5" s="1"/>
  <c r="E1147" i="26"/>
  <c r="F1147" i="26" s="1"/>
  <c r="G178" i="5" s="1"/>
  <c r="G1147" i="26"/>
  <c r="H1147" i="26" s="1"/>
  <c r="H178" i="5" s="1"/>
  <c r="K1147" i="26"/>
  <c r="C1148" i="26"/>
  <c r="F179" i="5" s="1"/>
  <c r="E1148" i="26"/>
  <c r="F1148" i="26" s="1"/>
  <c r="G179" i="5" s="1"/>
  <c r="G1148" i="26"/>
  <c r="H1148" i="26" s="1"/>
  <c r="H179" i="5" s="1"/>
  <c r="K1148" i="26"/>
  <c r="K1150" i="26"/>
  <c r="C1151" i="26"/>
  <c r="E1151" i="26"/>
  <c r="G1151" i="26"/>
  <c r="K1151" i="26"/>
  <c r="C1152" i="26"/>
  <c r="E1152" i="26"/>
  <c r="G1152" i="26"/>
  <c r="K1152" i="26"/>
  <c r="C1153" i="26"/>
  <c r="E1153" i="26"/>
  <c r="G1153" i="26"/>
  <c r="K1153" i="26"/>
  <c r="K1154" i="26"/>
  <c r="C1155" i="26"/>
  <c r="D1155" i="26" s="1"/>
  <c r="C14" i="3" s="1"/>
  <c r="E1155" i="26"/>
  <c r="F1155" i="26" s="1"/>
  <c r="D14" i="3" s="1"/>
  <c r="G1155" i="26"/>
  <c r="H1155" i="26" s="1"/>
  <c r="E14" i="3" s="1"/>
  <c r="K1155" i="26"/>
  <c r="K1156" i="26"/>
  <c r="C1157" i="26"/>
  <c r="D1157" i="26" s="1"/>
  <c r="C15" i="3" s="1"/>
  <c r="E1157" i="26"/>
  <c r="F1157" i="26" s="1"/>
  <c r="D15" i="3" s="1"/>
  <c r="G1157" i="26"/>
  <c r="H1157" i="26" s="1"/>
  <c r="E15" i="3" s="1"/>
  <c r="K1157" i="26"/>
  <c r="K1160" i="26"/>
  <c r="C1161" i="26"/>
  <c r="D1161" i="26" s="1"/>
  <c r="G1161" i="26"/>
  <c r="H1161" i="26" s="1"/>
  <c r="K1161" i="26"/>
  <c r="C1163" i="26"/>
  <c r="D1163" i="26" s="1"/>
  <c r="F272" i="5" s="1"/>
  <c r="G1163" i="26"/>
  <c r="H1163" i="26" s="1"/>
  <c r="H272" i="5" s="1"/>
  <c r="K1163" i="26"/>
  <c r="C1164" i="26"/>
  <c r="D1164" i="26" s="1"/>
  <c r="F269" i="5" s="1"/>
  <c r="G1164" i="26"/>
  <c r="H1164" i="26" s="1"/>
  <c r="H269" i="5" s="1"/>
  <c r="K1164" i="26"/>
  <c r="C1165" i="26"/>
  <c r="D1165" i="26" s="1"/>
  <c r="G1165" i="26"/>
  <c r="H1165" i="26" s="1"/>
  <c r="K1165" i="26"/>
  <c r="C1166" i="26"/>
  <c r="D1166" i="26" s="1"/>
  <c r="F271" i="5" s="1"/>
  <c r="G1166" i="26"/>
  <c r="H1166" i="26" s="1"/>
  <c r="H271" i="5" s="1"/>
  <c r="K1166" i="26"/>
  <c r="K1169" i="26"/>
  <c r="C1170" i="26"/>
  <c r="G1170" i="26"/>
  <c r="K1170" i="26"/>
  <c r="C1171" i="26"/>
  <c r="G1171" i="26"/>
  <c r="K1171" i="26"/>
  <c r="C1172" i="26"/>
  <c r="G1172" i="26"/>
  <c r="K1172" i="26"/>
  <c r="C1173" i="26"/>
  <c r="G1173" i="26"/>
  <c r="K1173" i="26"/>
  <c r="C1174" i="26"/>
  <c r="G1174" i="26"/>
  <c r="K1174" i="26"/>
  <c r="C1175" i="26"/>
  <c r="G1175" i="26"/>
  <c r="K1175" i="26"/>
  <c r="C1176" i="26"/>
  <c r="G1176" i="26"/>
  <c r="K1176" i="26"/>
  <c r="C1177" i="26"/>
  <c r="G1177" i="26"/>
  <c r="K1177" i="26"/>
  <c r="C1178" i="26"/>
  <c r="G1178" i="26"/>
  <c r="K1178" i="26"/>
  <c r="C1179" i="26"/>
  <c r="G1179" i="26"/>
  <c r="K1179" i="26"/>
  <c r="C1180" i="26"/>
  <c r="G1180" i="26"/>
  <c r="K1180" i="26"/>
  <c r="C1181" i="26"/>
  <c r="G1181" i="26"/>
  <c r="K1181" i="26"/>
  <c r="C1182" i="26"/>
  <c r="G1182" i="26"/>
  <c r="K1182" i="26"/>
  <c r="C1183" i="26"/>
  <c r="G1183" i="26"/>
  <c r="K1183" i="26"/>
  <c r="C1184" i="26"/>
  <c r="G1184" i="26"/>
  <c r="K1184" i="26"/>
  <c r="C1188" i="26"/>
  <c r="G1188" i="26"/>
  <c r="K1188" i="26"/>
  <c r="C1189" i="26"/>
  <c r="G1189" i="26"/>
  <c r="K1189" i="26"/>
  <c r="K1192" i="26"/>
  <c r="C1193" i="26"/>
  <c r="D1193" i="26" s="1"/>
  <c r="C23" i="3" s="1"/>
  <c r="F1193" i="26"/>
  <c r="D23" i="3" s="1"/>
  <c r="G1193" i="26"/>
  <c r="H1193" i="26" s="1"/>
  <c r="E23" i="3" s="1"/>
  <c r="K1193" i="26"/>
  <c r="C1194" i="26"/>
  <c r="D1194" i="26" s="1"/>
  <c r="C38" i="3" s="1"/>
  <c r="F1194" i="26"/>
  <c r="D38" i="3" s="1"/>
  <c r="G1194" i="26"/>
  <c r="H1194" i="26" s="1"/>
  <c r="K1194" i="26"/>
  <c r="K1197" i="26"/>
  <c r="C1198" i="26"/>
  <c r="E1198" i="26"/>
  <c r="F1198" i="26" s="1"/>
  <c r="G1198" i="26"/>
  <c r="K1198" i="26"/>
  <c r="C1199" i="26"/>
  <c r="E1199" i="26"/>
  <c r="G1199" i="26"/>
  <c r="K1199" i="26"/>
  <c r="C1200" i="26"/>
  <c r="E1200" i="26"/>
  <c r="G1200" i="26"/>
  <c r="K1200" i="26"/>
  <c r="C1202" i="26"/>
  <c r="E1202" i="26"/>
  <c r="G1202" i="26"/>
  <c r="K1202" i="26"/>
  <c r="C1203" i="26"/>
  <c r="E1203" i="26"/>
  <c r="G1203" i="26"/>
  <c r="K1203" i="26"/>
  <c r="C1204" i="26"/>
  <c r="E1204" i="26"/>
  <c r="G1204" i="26"/>
  <c r="K1204" i="26"/>
  <c r="C1205" i="26"/>
  <c r="E1205" i="26"/>
  <c r="G1205" i="26"/>
  <c r="K1205" i="26"/>
  <c r="C1206" i="26"/>
  <c r="E1206" i="26"/>
  <c r="G1206" i="26"/>
  <c r="K1206" i="26"/>
  <c r="C1207" i="26"/>
  <c r="E1207" i="26"/>
  <c r="G1207" i="26"/>
  <c r="K1207" i="26"/>
  <c r="C1208" i="26"/>
  <c r="E1208" i="26"/>
  <c r="G1208" i="26"/>
  <c r="K1208" i="26"/>
  <c r="C1209" i="26"/>
  <c r="E1209" i="26"/>
  <c r="G1209" i="26"/>
  <c r="K1209" i="26"/>
  <c r="C1210" i="26"/>
  <c r="E1210" i="26"/>
  <c r="G1210" i="26"/>
  <c r="K1210" i="26"/>
  <c r="C1211" i="26"/>
  <c r="E1211" i="26"/>
  <c r="G1211" i="26"/>
  <c r="K1211" i="26"/>
  <c r="C1212" i="26"/>
  <c r="E1212" i="26"/>
  <c r="G1212" i="26"/>
  <c r="K1212" i="26"/>
  <c r="C1213" i="26"/>
  <c r="E1213" i="26"/>
  <c r="G1213" i="26"/>
  <c r="K1213" i="26"/>
  <c r="C1214" i="26"/>
  <c r="E1214" i="26"/>
  <c r="G1214" i="26"/>
  <c r="K1214" i="26"/>
  <c r="C1215" i="26"/>
  <c r="E1215" i="26"/>
  <c r="G1215" i="26"/>
  <c r="K1215" i="26"/>
  <c r="C1216" i="26"/>
  <c r="E1216" i="26"/>
  <c r="G1216" i="26"/>
  <c r="K1216" i="26"/>
  <c r="C1217" i="26"/>
  <c r="E1217" i="26"/>
  <c r="G1217" i="26"/>
  <c r="K1217" i="26"/>
  <c r="C1218" i="26"/>
  <c r="E1218" i="26"/>
  <c r="G1218" i="26"/>
  <c r="K1218" i="26"/>
  <c r="C1219" i="26"/>
  <c r="E1219" i="26"/>
  <c r="G1219" i="26"/>
  <c r="K1219" i="26"/>
  <c r="C1220" i="26"/>
  <c r="E1220" i="26"/>
  <c r="G1220" i="26"/>
  <c r="K1220" i="26"/>
  <c r="C1221" i="26"/>
  <c r="E1221" i="26"/>
  <c r="G1221" i="26"/>
  <c r="K1221" i="26"/>
  <c r="C1222" i="26"/>
  <c r="E1222" i="26"/>
  <c r="G1222" i="26"/>
  <c r="K1222" i="26"/>
  <c r="C1223" i="26"/>
  <c r="E1223" i="26"/>
  <c r="G1223" i="26"/>
  <c r="K1223" i="26"/>
  <c r="C1224" i="26"/>
  <c r="E1224" i="26"/>
  <c r="G1224" i="26"/>
  <c r="K1224" i="26"/>
  <c r="C1225" i="26"/>
  <c r="E1225" i="26"/>
  <c r="G1225" i="26"/>
  <c r="K1225" i="26"/>
  <c r="C1226" i="26"/>
  <c r="E1226" i="26"/>
  <c r="G1226" i="26"/>
  <c r="K1226" i="26"/>
  <c r="C1230" i="26"/>
  <c r="E1230" i="26"/>
  <c r="G1230" i="26"/>
  <c r="K1230" i="26"/>
  <c r="C1231" i="26"/>
  <c r="E1231" i="26"/>
  <c r="G1231" i="26"/>
  <c r="K1231" i="26"/>
  <c r="C1232" i="26"/>
  <c r="E1232" i="26"/>
  <c r="G1232" i="26"/>
  <c r="K1232" i="26"/>
  <c r="C1233" i="26"/>
  <c r="E1233" i="26"/>
  <c r="G1233" i="26"/>
  <c r="K1233" i="26"/>
  <c r="C1234" i="26"/>
  <c r="E1234" i="26"/>
  <c r="G1234" i="26"/>
  <c r="K1234" i="26"/>
  <c r="C1235" i="26"/>
  <c r="E1235" i="26"/>
  <c r="G1235" i="26"/>
  <c r="K1235" i="26"/>
  <c r="C1236" i="26"/>
  <c r="E1236" i="26"/>
  <c r="G1236" i="26"/>
  <c r="K1236" i="26"/>
  <c r="C1237" i="26"/>
  <c r="E1237" i="26"/>
  <c r="G1237" i="26"/>
  <c r="K1237" i="26"/>
  <c r="C1238" i="26"/>
  <c r="E1238" i="26"/>
  <c r="G1238" i="26"/>
  <c r="K1238" i="26"/>
  <c r="C1242" i="26"/>
  <c r="E1242" i="26"/>
  <c r="G1242" i="26"/>
  <c r="K1242" i="26"/>
  <c r="C1243" i="26"/>
  <c r="E1243" i="26"/>
  <c r="G1243" i="26"/>
  <c r="K1243" i="26"/>
  <c r="C1245" i="26"/>
  <c r="E1245" i="26"/>
  <c r="G1245" i="26"/>
  <c r="K1245" i="26"/>
  <c r="C1246" i="26"/>
  <c r="E1246" i="26"/>
  <c r="G1246" i="26"/>
  <c r="K1246" i="26"/>
  <c r="C1248" i="26"/>
  <c r="E1248" i="26"/>
  <c r="G1248" i="26"/>
  <c r="K1248" i="26"/>
  <c r="C1249" i="26"/>
  <c r="E1249" i="26"/>
  <c r="G1249" i="26"/>
  <c r="K1249" i="26"/>
  <c r="K1252" i="26"/>
  <c r="C1253" i="26"/>
  <c r="E1253" i="26"/>
  <c r="G1253" i="26"/>
  <c r="K1253" i="26"/>
  <c r="C1254" i="26"/>
  <c r="E1254" i="26"/>
  <c r="G1254" i="26"/>
  <c r="K1254" i="26"/>
  <c r="C1255" i="26"/>
  <c r="E1255" i="26"/>
  <c r="G1255" i="26"/>
  <c r="K1255" i="26"/>
  <c r="C1256" i="26"/>
  <c r="E1256" i="26"/>
  <c r="G1256" i="26"/>
  <c r="K1256" i="26"/>
  <c r="C1257" i="26"/>
  <c r="E1257" i="26"/>
  <c r="G1257" i="26"/>
  <c r="K1257" i="26"/>
  <c r="C1258" i="26"/>
  <c r="E1258" i="26"/>
  <c r="G1258" i="26"/>
  <c r="K1258" i="26"/>
  <c r="C1259" i="26"/>
  <c r="E1259" i="26"/>
  <c r="G1259" i="26"/>
  <c r="K1259" i="26"/>
  <c r="C1260" i="26"/>
  <c r="E1260" i="26"/>
  <c r="G1260" i="26"/>
  <c r="K1260" i="26"/>
  <c r="C1261" i="26"/>
  <c r="E1261" i="26"/>
  <c r="G1261" i="26"/>
  <c r="K1261" i="26"/>
  <c r="C1263" i="26"/>
  <c r="E1263" i="26"/>
  <c r="G1263" i="26"/>
  <c r="K1263" i="26"/>
  <c r="C1264" i="26"/>
  <c r="E1264" i="26"/>
  <c r="G1264" i="26"/>
  <c r="K1264" i="26"/>
  <c r="C1265" i="26"/>
  <c r="E1265" i="26"/>
  <c r="G1265" i="26"/>
  <c r="K1265" i="26"/>
  <c r="C1266" i="26"/>
  <c r="E1266" i="26"/>
  <c r="G1266" i="26"/>
  <c r="K1266" i="26"/>
  <c r="F268" i="5" l="1"/>
  <c r="H1100" i="26"/>
  <c r="H162" i="5" s="1"/>
  <c r="H268" i="5"/>
  <c r="F1100" i="26"/>
  <c r="G162" i="5" s="1"/>
  <c r="D307" i="26"/>
  <c r="D253" i="26"/>
  <c r="D131" i="26"/>
  <c r="D203" i="26"/>
  <c r="D236" i="26"/>
  <c r="D133" i="26"/>
  <c r="C12" i="1" s="1"/>
  <c r="D122" i="27" s="1"/>
  <c r="D130" i="27" s="1"/>
  <c r="C16" i="20" s="1"/>
  <c r="D57" i="26"/>
  <c r="D22" i="26"/>
  <c r="D311" i="26"/>
  <c r="D181" i="26"/>
  <c r="D106" i="26"/>
  <c r="D1127" i="26"/>
  <c r="F202" i="5" s="1"/>
  <c r="D1100" i="26"/>
  <c r="F162" i="5" s="1"/>
  <c r="D327" i="26"/>
  <c r="D197" i="26"/>
  <c r="D63" i="26"/>
  <c r="D324" i="26"/>
  <c r="D79" i="26"/>
  <c r="H1189" i="26"/>
  <c r="H292" i="5" s="1"/>
  <c r="D1189" i="26"/>
  <c r="F292" i="5" s="1"/>
  <c r="G303" i="5"/>
  <c r="H16" i="26"/>
  <c r="H11" i="5" s="1"/>
  <c r="F16" i="26"/>
  <c r="H66" i="26"/>
  <c r="H34" i="5" s="1"/>
  <c r="F66" i="26"/>
  <c r="G34" i="5" s="1"/>
  <c r="F34" i="5"/>
  <c r="H653" i="26"/>
  <c r="F11" i="5"/>
  <c r="F1055" i="26"/>
  <c r="F1009" i="26"/>
  <c r="F1028" i="26"/>
  <c r="F1019" i="26"/>
  <c r="F1058" i="26"/>
  <c r="D24" i="1" s="1"/>
  <c r="F1033" i="26"/>
  <c r="G136" i="5" s="1"/>
  <c r="F980" i="26"/>
  <c r="F1014" i="26"/>
  <c r="F1037" i="26"/>
  <c r="F1001" i="26"/>
  <c r="G130" i="5" s="1"/>
  <c r="F984" i="26"/>
  <c r="F960" i="26"/>
  <c r="F1059" i="26"/>
  <c r="D25" i="1" s="1"/>
  <c r="F1031" i="26"/>
  <c r="G135" i="5" s="1"/>
  <c r="F976" i="26"/>
  <c r="F997" i="26"/>
  <c r="F874" i="26"/>
  <c r="D23" i="1"/>
  <c r="E112" i="27" s="1"/>
  <c r="E120" i="27" s="1"/>
  <c r="D15" i="20" s="1"/>
  <c r="G307" i="5"/>
  <c r="D39" i="3"/>
  <c r="F896" i="26"/>
  <c r="F819" i="26"/>
  <c r="F887" i="26"/>
  <c r="H307" i="5"/>
  <c r="E38" i="3"/>
  <c r="F868" i="26"/>
  <c r="G111" i="5" s="1"/>
  <c r="F901" i="26"/>
  <c r="F722" i="26"/>
  <c r="H300" i="5"/>
  <c r="H303" i="5" s="1"/>
  <c r="D653" i="26"/>
  <c r="F1266" i="26"/>
  <c r="D1009" i="26"/>
  <c r="D1033" i="26"/>
  <c r="F136" i="5" s="1"/>
  <c r="D1014" i="26"/>
  <c r="D1031" i="26"/>
  <c r="F135" i="5" s="1"/>
  <c r="D1028" i="26"/>
  <c r="D1037" i="26"/>
  <c r="D1019" i="26"/>
  <c r="D997" i="26"/>
  <c r="D896" i="26"/>
  <c r="D887" i="26"/>
  <c r="D722" i="26"/>
  <c r="D32" i="3"/>
  <c r="D34" i="3" s="1"/>
  <c r="G306" i="5"/>
  <c r="H1127" i="26"/>
  <c r="H202" i="5" s="1"/>
  <c r="H204" i="5" s="1"/>
  <c r="F1127" i="26"/>
  <c r="G202" i="5" s="1"/>
  <c r="C23" i="1"/>
  <c r="D112" i="27" s="1"/>
  <c r="D120" i="27" s="1"/>
  <c r="C15" i="20" s="1"/>
  <c r="F1140" i="26"/>
  <c r="H306" i="5"/>
  <c r="F306" i="5"/>
  <c r="F300" i="5"/>
  <c r="F307" i="26"/>
  <c r="F311" i="26"/>
  <c r="H1144" i="26"/>
  <c r="H176" i="5" s="1"/>
  <c r="F307" i="5"/>
  <c r="D1149" i="26"/>
  <c r="F327" i="26"/>
  <c r="H327" i="26"/>
  <c r="H311" i="26"/>
  <c r="H1037" i="26"/>
  <c r="H901" i="26"/>
  <c r="D1144" i="26"/>
  <c r="F176" i="5" s="1"/>
  <c r="H1019" i="26"/>
  <c r="H896" i="26"/>
  <c r="H197" i="26"/>
  <c r="H49" i="5" s="1"/>
  <c r="F197" i="26"/>
  <c r="F57" i="26"/>
  <c r="F193" i="5"/>
  <c r="F195" i="5" s="1"/>
  <c r="D1055" i="26"/>
  <c r="F653" i="26"/>
  <c r="F236" i="26"/>
  <c r="F63" i="26"/>
  <c r="F45" i="26"/>
  <c r="H22" i="26"/>
  <c r="H57" i="26"/>
  <c r="H27" i="5" s="1"/>
  <c r="F49" i="5"/>
  <c r="D769" i="26"/>
  <c r="H960" i="26"/>
  <c r="H862" i="26"/>
  <c r="D45" i="26"/>
  <c r="F17" i="5" s="1"/>
  <c r="H15" i="5"/>
  <c r="F22" i="26"/>
  <c r="H324" i="26"/>
  <c r="F106" i="26"/>
  <c r="G193" i="5"/>
  <c r="G195" i="5" s="1"/>
  <c r="H1153" i="26"/>
  <c r="E13" i="3" s="1"/>
  <c r="H887" i="26"/>
  <c r="H236" i="26"/>
  <c r="F131" i="26"/>
  <c r="H45" i="26"/>
  <c r="G177" i="5"/>
  <c r="F1248" i="26"/>
  <c r="H997" i="26"/>
  <c r="F862" i="26"/>
  <c r="F12" i="5"/>
  <c r="F181" i="26"/>
  <c r="H106" i="26"/>
  <c r="H1055" i="26"/>
  <c r="H1028" i="26"/>
  <c r="H984" i="26"/>
  <c r="H1266" i="26"/>
  <c r="I1145" i="26"/>
  <c r="I1147" i="26"/>
  <c r="D984" i="26"/>
  <c r="H976" i="26"/>
  <c r="D960" i="26"/>
  <c r="D862" i="26"/>
  <c r="F15" i="5"/>
  <c r="H10" i="26"/>
  <c r="D848" i="26"/>
  <c r="F98" i="5" s="1"/>
  <c r="F675" i="26"/>
  <c r="H769" i="26"/>
  <c r="H79" i="26"/>
  <c r="F79" i="26"/>
  <c r="D1153" i="26"/>
  <c r="C13" i="3" s="1"/>
  <c r="D980" i="26"/>
  <c r="H1249" i="26"/>
  <c r="H1009" i="26"/>
  <c r="H874" i="26"/>
  <c r="H30" i="26"/>
  <c r="H16" i="5" s="1"/>
  <c r="F10" i="26"/>
  <c r="H193" i="5"/>
  <c r="H195" i="5" s="1"/>
  <c r="F769" i="26"/>
  <c r="H203" i="26"/>
  <c r="H63" i="26"/>
  <c r="D1266" i="26"/>
  <c r="F1249" i="26"/>
  <c r="H1140" i="26"/>
  <c r="D976" i="26"/>
  <c r="H307" i="26"/>
  <c r="H253" i="26"/>
  <c r="F30" i="26"/>
  <c r="G16" i="5" s="1"/>
  <c r="D10" i="26"/>
  <c r="F9" i="5" s="1"/>
  <c r="H5" i="26"/>
  <c r="H7" i="5" s="1"/>
  <c r="D675" i="26"/>
  <c r="H181" i="26"/>
  <c r="D901" i="26"/>
  <c r="F324" i="26"/>
  <c r="D819" i="26"/>
  <c r="H980" i="26"/>
  <c r="H131" i="26"/>
  <c r="H37" i="5" s="1"/>
  <c r="F203" i="26"/>
  <c r="D1249" i="26"/>
  <c r="D874" i="26"/>
  <c r="H848" i="26"/>
  <c r="F253" i="26"/>
  <c r="F5" i="26"/>
  <c r="H675" i="26"/>
  <c r="H819" i="26"/>
  <c r="F1153" i="26"/>
  <c r="D13" i="3" s="1"/>
  <c r="H722" i="26"/>
  <c r="D1140" i="26"/>
  <c r="H1014" i="26"/>
  <c r="F848" i="26"/>
  <c r="D5" i="26"/>
  <c r="F7" i="5" s="1"/>
  <c r="F155" i="5"/>
  <c r="D16" i="3" l="1"/>
  <c r="G204" i="5"/>
  <c r="C16" i="3"/>
  <c r="F204" i="5"/>
  <c r="E16" i="3"/>
  <c r="H499" i="5"/>
  <c r="D210" i="27"/>
  <c r="C23" i="20" s="1"/>
  <c r="G300" i="5"/>
  <c r="H165" i="5"/>
  <c r="H181" i="5"/>
  <c r="I66" i="17"/>
  <c r="H66" i="17"/>
  <c r="I65" i="17"/>
  <c r="H65" i="17"/>
  <c r="I64" i="17"/>
  <c r="H64" i="17"/>
  <c r="I63" i="17"/>
  <c r="H63" i="17"/>
  <c r="I62" i="17"/>
  <c r="H62" i="17"/>
  <c r="I61" i="17"/>
  <c r="H61" i="17"/>
  <c r="I60" i="17"/>
  <c r="H60" i="17"/>
  <c r="I59" i="17"/>
  <c r="H59" i="17"/>
  <c r="I58" i="17"/>
  <c r="H58" i="17"/>
  <c r="I57" i="17"/>
  <c r="H57" i="17"/>
  <c r="I56" i="17"/>
  <c r="H56" i="17"/>
  <c r="I55" i="17"/>
  <c r="H55" i="17"/>
  <c r="I54" i="17"/>
  <c r="H54" i="17"/>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I13" i="17"/>
  <c r="H13" i="17"/>
  <c r="I12" i="17"/>
  <c r="H12" i="17"/>
  <c r="I11" i="17"/>
  <c r="H11" i="17"/>
  <c r="I10" i="17"/>
  <c r="H10" i="17"/>
  <c r="I9" i="17"/>
  <c r="H9" i="17"/>
  <c r="I8" i="17"/>
  <c r="H8" i="17"/>
  <c r="I7" i="17"/>
  <c r="H7" i="17"/>
  <c r="E12" i="3" l="1"/>
  <c r="H498" i="5"/>
  <c r="D330" i="27"/>
  <c r="E11" i="3"/>
  <c r="E45" i="20" s="1"/>
  <c r="G299" i="5"/>
  <c r="D211" i="27"/>
  <c r="G499" i="5"/>
  <c r="H185" i="5"/>
  <c r="A105" i="5"/>
  <c r="H92" i="5"/>
  <c r="G92" i="5"/>
  <c r="F92" i="5"/>
  <c r="C42" i="20" l="1"/>
  <c r="H45" i="20"/>
  <c r="H80" i="5"/>
  <c r="G80" i="5"/>
  <c r="F80" i="5"/>
  <c r="H68" i="5"/>
  <c r="G68" i="5"/>
  <c r="F68" i="5"/>
  <c r="H55" i="5"/>
  <c r="G55" i="5"/>
  <c r="F55" i="5"/>
  <c r="H67" i="17" l="1"/>
  <c r="I67" i="17"/>
  <c r="C4" i="17" l="1"/>
  <c r="C21" i="17"/>
  <c r="C22" i="17"/>
  <c r="C23" i="17"/>
  <c r="C24" i="17"/>
  <c r="C25" i="17"/>
  <c r="C26" i="17"/>
  <c r="C27" i="17"/>
  <c r="C28" i="17"/>
  <c r="C29" i="17"/>
  <c r="C30" i="17"/>
  <c r="C31" i="17"/>
  <c r="C32" i="17"/>
  <c r="C33" i="17"/>
  <c r="C34" i="17"/>
  <c r="C35" i="17"/>
  <c r="C36" i="17"/>
  <c r="C37" i="17"/>
  <c r="C38" i="17"/>
  <c r="C39" i="17"/>
  <c r="E84" i="17" s="1"/>
  <c r="C40" i="17"/>
  <c r="C41" i="17"/>
  <c r="C42" i="17"/>
  <c r="C43" i="17"/>
  <c r="C44" i="17"/>
  <c r="C45" i="17"/>
  <c r="C46" i="17"/>
  <c r="C47" i="17"/>
  <c r="C48" i="17"/>
  <c r="C49" i="17"/>
  <c r="C50" i="17"/>
  <c r="C51" i="17"/>
  <c r="C52" i="17"/>
  <c r="C53" i="17"/>
  <c r="C54" i="17"/>
  <c r="C55" i="17"/>
  <c r="C56" i="17"/>
  <c r="C57" i="17"/>
  <c r="C58" i="17"/>
  <c r="C59" i="17"/>
  <c r="C60" i="17"/>
  <c r="C61" i="17"/>
  <c r="C62" i="17"/>
  <c r="C63" i="17"/>
  <c r="C64" i="17"/>
  <c r="E86" i="17" s="1"/>
  <c r="C65" i="17"/>
  <c r="C66" i="17"/>
  <c r="C8" i="17"/>
  <c r="C9" i="17"/>
  <c r="C10" i="17"/>
  <c r="C11" i="17"/>
  <c r="C12" i="17"/>
  <c r="C13" i="17"/>
  <c r="C14" i="17"/>
  <c r="C15" i="17"/>
  <c r="C16" i="17"/>
  <c r="C17" i="17"/>
  <c r="C18" i="17"/>
  <c r="E83" i="17" s="1"/>
  <c r="C19" i="17"/>
  <c r="C20" i="17"/>
  <c r="C7" i="17"/>
  <c r="D4" i="17"/>
  <c r="D80" i="17" s="1"/>
  <c r="E81" i="17" l="1"/>
  <c r="E82" i="17"/>
  <c r="C78" i="17"/>
  <c r="E85" i="17"/>
  <c r="C6" i="17"/>
  <c r="E6" i="17" s="1"/>
  <c r="E66" i="17" s="1"/>
  <c r="E4" i="17"/>
  <c r="C67" i="17"/>
  <c r="G48" i="5" l="1"/>
  <c r="H48" i="5"/>
  <c r="G114" i="5"/>
  <c r="H114" i="5"/>
  <c r="E90" i="17"/>
  <c r="E96" i="17"/>
  <c r="G62" i="5"/>
  <c r="H62" i="5"/>
  <c r="E97" i="17"/>
  <c r="G60" i="5"/>
  <c r="H60" i="5"/>
  <c r="E25" i="1"/>
  <c r="E13" i="1"/>
  <c r="F114" i="5" l="1"/>
  <c r="F96" i="5"/>
  <c r="F86" i="5"/>
  <c r="F84" i="5"/>
  <c r="F62" i="5"/>
  <c r="F128" i="5"/>
  <c r="F60" i="5"/>
  <c r="F48" i="5"/>
  <c r="F119" i="5"/>
  <c r="G98" i="5"/>
  <c r="H99" i="5"/>
  <c r="G99" i="5"/>
  <c r="H98" i="5"/>
  <c r="H96" i="5"/>
  <c r="G96" i="5"/>
  <c r="G133" i="5"/>
  <c r="H120" i="5"/>
  <c r="H138" i="5"/>
  <c r="G138" i="5"/>
  <c r="F138" i="5"/>
  <c r="G73" i="5"/>
  <c r="F133" i="5"/>
  <c r="F73" i="5"/>
  <c r="G116" i="5"/>
  <c r="F116" i="5"/>
  <c r="H133" i="5"/>
  <c r="F74" i="5"/>
  <c r="H73" i="5"/>
  <c r="G86" i="5"/>
  <c r="H85" i="5"/>
  <c r="G84" i="5"/>
  <c r="F85" i="5"/>
  <c r="H128" i="5"/>
  <c r="G120" i="5"/>
  <c r="F72" i="5"/>
  <c r="G85" i="5"/>
  <c r="H59" i="5"/>
  <c r="H61" i="5"/>
  <c r="G128" i="5"/>
  <c r="F120" i="5"/>
  <c r="F87" i="5"/>
  <c r="H86" i="5"/>
  <c r="H118" i="5"/>
  <c r="G87" i="5"/>
  <c r="H119" i="5"/>
  <c r="H87" i="5"/>
  <c r="H72" i="5"/>
  <c r="H84" i="5"/>
  <c r="F61" i="5"/>
  <c r="H116" i="5"/>
  <c r="F118" i="5"/>
  <c r="H117" i="5"/>
  <c r="H131" i="5"/>
  <c r="G119" i="5"/>
  <c r="G61" i="5"/>
  <c r="F59" i="5"/>
  <c r="G117" i="5"/>
  <c r="G131" i="5"/>
  <c r="H50" i="5"/>
  <c r="G59" i="5"/>
  <c r="G118" i="5"/>
  <c r="H75" i="5"/>
  <c r="F117" i="5"/>
  <c r="F131" i="5"/>
  <c r="G50" i="5"/>
  <c r="G75" i="5"/>
  <c r="H113" i="5"/>
  <c r="F50" i="5"/>
  <c r="G72" i="5"/>
  <c r="F75" i="5"/>
  <c r="G113" i="5"/>
  <c r="F113" i="5"/>
  <c r="H74" i="5"/>
  <c r="G74" i="5"/>
  <c r="H47" i="5"/>
  <c r="G47" i="5"/>
  <c r="F47" i="5"/>
  <c r="G49" i="5"/>
  <c r="E95" i="17"/>
  <c r="E93" i="17"/>
  <c r="E92" i="17"/>
  <c r="E99" i="17"/>
  <c r="E94" i="17"/>
  <c r="H137" i="5"/>
  <c r="G17" i="5"/>
  <c r="H17" i="5"/>
  <c r="G134" i="5"/>
  <c r="H134" i="5"/>
  <c r="G132" i="5"/>
  <c r="G137" i="5"/>
  <c r="F132" i="5"/>
  <c r="F134" i="5"/>
  <c r="H132" i="5"/>
  <c r="F137" i="5"/>
  <c r="D91" i="27" l="1"/>
  <c r="D100" i="27" s="1"/>
  <c r="C12" i="20" s="1"/>
  <c r="E91" i="27"/>
  <c r="E100" i="27" s="1"/>
  <c r="D12" i="20" s="1"/>
  <c r="G89" i="5"/>
  <c r="G101" i="5"/>
  <c r="F77" i="5"/>
  <c r="F64" i="5"/>
  <c r="F52" i="5"/>
  <c r="H89" i="5"/>
  <c r="F89" i="5"/>
  <c r="H77" i="5"/>
  <c r="G77" i="5"/>
  <c r="H64" i="5"/>
  <c r="G64" i="5"/>
  <c r="G52" i="5"/>
  <c r="H52" i="5"/>
  <c r="H101" i="5"/>
  <c r="F99" i="5"/>
  <c r="F101" i="5" s="1"/>
  <c r="G341" i="5"/>
  <c r="F341" i="5"/>
  <c r="E341" i="5"/>
  <c r="D341" i="5"/>
  <c r="H341" i="5" l="1"/>
  <c r="F483" i="5"/>
  <c r="E230" i="5" l="1"/>
  <c r="D230" i="5" s="1"/>
  <c r="B236" i="5"/>
  <c r="H347" i="5"/>
  <c r="H362" i="5"/>
  <c r="E33" i="3" l="1"/>
  <c r="G356" i="5"/>
  <c r="F356" i="5"/>
  <c r="E356" i="5"/>
  <c r="H356" i="5"/>
  <c r="D356" i="5"/>
  <c r="H316" i="5"/>
  <c r="G316" i="5"/>
  <c r="F316" i="5"/>
  <c r="H324" i="5"/>
  <c r="H507" i="5" s="1"/>
  <c r="G324" i="5"/>
  <c r="F324" i="5"/>
  <c r="F507" i="5" s="1"/>
  <c r="G507" i="5" l="1"/>
  <c r="D182" i="27"/>
  <c r="F36" i="5"/>
  <c r="F393" i="5"/>
  <c r="D248" i="5"/>
  <c r="H155" i="5"/>
  <c r="G8" i="5"/>
  <c r="G10" i="5"/>
  <c r="G13" i="5"/>
  <c r="G14" i="5"/>
  <c r="G15" i="5"/>
  <c r="H8" i="5"/>
  <c r="H10" i="5"/>
  <c r="H13" i="5"/>
  <c r="H14" i="5"/>
  <c r="H36" i="5"/>
  <c r="H139" i="5"/>
  <c r="G139" i="5"/>
  <c r="D22" i="1" s="1"/>
  <c r="H214" i="5"/>
  <c r="H216" i="5"/>
  <c r="E231" i="5"/>
  <c r="D231" i="5" s="1"/>
  <c r="C39" i="3"/>
  <c r="G11" i="5"/>
  <c r="H183" i="5"/>
  <c r="H184" i="5" s="1"/>
  <c r="H497" i="5"/>
  <c r="G278" i="5"/>
  <c r="F234" i="5"/>
  <c r="F261" i="5"/>
  <c r="G248" i="5"/>
  <c r="F248" i="5"/>
  <c r="E248" i="5"/>
  <c r="C248" i="5"/>
  <c r="J247" i="5"/>
  <c r="A22" i="5"/>
  <c r="A42" i="5" s="1"/>
  <c r="A123" i="5" s="1"/>
  <c r="A157" i="5" s="1"/>
  <c r="H492" i="5"/>
  <c r="G492" i="5"/>
  <c r="F492" i="5"/>
  <c r="G410" i="5"/>
  <c r="F410" i="5"/>
  <c r="G381" i="5"/>
  <c r="F381" i="5"/>
  <c r="G295" i="5"/>
  <c r="G288" i="5"/>
  <c r="G264" i="5"/>
  <c r="G198" i="5"/>
  <c r="H189" i="5"/>
  <c r="G189" i="5"/>
  <c r="F189" i="5"/>
  <c r="G172" i="5"/>
  <c r="G158" i="5"/>
  <c r="G36" i="5"/>
  <c r="H295" i="5"/>
  <c r="F295" i="5"/>
  <c r="A1" i="3"/>
  <c r="A1" i="4"/>
  <c r="F198" i="5"/>
  <c r="F124" i="5"/>
  <c r="A3" i="4"/>
  <c r="G483" i="5"/>
  <c r="F172" i="5"/>
  <c r="B213" i="5"/>
  <c r="F106" i="5"/>
  <c r="F3" i="5"/>
  <c r="H158" i="5"/>
  <c r="F401" i="5"/>
  <c r="F428" i="5"/>
  <c r="F146" i="5"/>
  <c r="F23" i="5"/>
  <c r="C5" i="4"/>
  <c r="F43" i="5"/>
  <c r="F158" i="5"/>
  <c r="F264" i="5"/>
  <c r="F288" i="5"/>
  <c r="H124" i="5"/>
  <c r="G477" i="5"/>
  <c r="H23" i="5"/>
  <c r="H172" i="5"/>
  <c r="G428" i="5"/>
  <c r="E5" i="4"/>
  <c r="F477" i="5"/>
  <c r="G401" i="5"/>
  <c r="H264" i="5"/>
  <c r="H43" i="5"/>
  <c r="H146" i="5"/>
  <c r="H106" i="5"/>
  <c r="H288" i="5"/>
  <c r="H3" i="5"/>
  <c r="H198" i="5"/>
  <c r="G146" i="5"/>
  <c r="G43" i="5"/>
  <c r="G106" i="5"/>
  <c r="D5" i="4"/>
  <c r="G3" i="5"/>
  <c r="G124" i="5"/>
  <c r="G23" i="5"/>
  <c r="E229" i="5" l="1"/>
  <c r="E227" i="5"/>
  <c r="D227" i="5"/>
  <c r="A1" i="27"/>
  <c r="A1" i="1"/>
  <c r="D190" i="27"/>
  <c r="C22" i="20" s="1"/>
  <c r="C27" i="20" s="1"/>
  <c r="A3" i="18"/>
  <c r="H38" i="5"/>
  <c r="F139" i="5"/>
  <c r="C22" i="1" s="1"/>
  <c r="A145" i="5"/>
  <c r="G293" i="5"/>
  <c r="D22" i="3" s="1"/>
  <c r="F299" i="5"/>
  <c r="F303" i="5" s="1"/>
  <c r="G308" i="5"/>
  <c r="G165" i="5"/>
  <c r="D11" i="3" s="1"/>
  <c r="G115" i="5"/>
  <c r="H115" i="5"/>
  <c r="F115" i="5"/>
  <c r="C77" i="17"/>
  <c r="G183" i="5"/>
  <c r="H9" i="5"/>
  <c r="F293" i="5"/>
  <c r="C22" i="3" s="1"/>
  <c r="G112" i="5"/>
  <c r="H277" i="5"/>
  <c r="F37" i="5"/>
  <c r="F38" i="5" s="1"/>
  <c r="C19" i="1" s="1"/>
  <c r="H215" i="5"/>
  <c r="E228" i="5" s="1"/>
  <c r="H248" i="5"/>
  <c r="C74" i="17"/>
  <c r="C73" i="17"/>
  <c r="F30" i="5"/>
  <c r="H112" i="5"/>
  <c r="C70" i="17"/>
  <c r="F27" i="5"/>
  <c r="G12" i="5"/>
  <c r="G31" i="5"/>
  <c r="D72" i="27"/>
  <c r="G29" i="5"/>
  <c r="H279" i="5"/>
  <c r="G30" i="5"/>
  <c r="F165" i="5"/>
  <c r="E39" i="3"/>
  <c r="F31" i="5"/>
  <c r="C76" i="17"/>
  <c r="C75" i="17"/>
  <c r="F29" i="5"/>
  <c r="C72" i="17"/>
  <c r="F112" i="5"/>
  <c r="F499" i="5"/>
  <c r="G27" i="5"/>
  <c r="H12" i="5"/>
  <c r="C71" i="17"/>
  <c r="G37" i="5"/>
  <c r="G38" i="5" s="1"/>
  <c r="D19" i="1" s="1"/>
  <c r="G9" i="5"/>
  <c r="H31" i="5"/>
  <c r="H30" i="5"/>
  <c r="H29" i="5"/>
  <c r="G155" i="5"/>
  <c r="A1" i="19"/>
  <c r="H221" i="5" l="1"/>
  <c r="E234" i="5"/>
  <c r="D229" i="5"/>
  <c r="D340" i="27"/>
  <c r="D311" i="27" s="1"/>
  <c r="C11" i="3"/>
  <c r="C45" i="20" s="1"/>
  <c r="C32" i="3"/>
  <c r="D213" i="27"/>
  <c r="D80" i="27"/>
  <c r="C11" i="20" s="1"/>
  <c r="G497" i="5"/>
  <c r="E340" i="27"/>
  <c r="F121" i="5"/>
  <c r="C21" i="1" s="1"/>
  <c r="F32" i="5"/>
  <c r="F40" i="5" s="1"/>
  <c r="F18" i="5"/>
  <c r="G121" i="5"/>
  <c r="D21" i="1" s="1"/>
  <c r="H121" i="5"/>
  <c r="E21" i="1" s="1"/>
  <c r="H32" i="5"/>
  <c r="H40" i="5" s="1"/>
  <c r="G32" i="5"/>
  <c r="H18" i="5"/>
  <c r="A171" i="5"/>
  <c r="B12" i="3" s="1"/>
  <c r="B11" i="3"/>
  <c r="C80" i="17"/>
  <c r="E80" i="17" s="1"/>
  <c r="E89" i="17" s="1"/>
  <c r="E100" i="17" s="1"/>
  <c r="F308" i="5"/>
  <c r="F279" i="5"/>
  <c r="F181" i="5"/>
  <c r="F184" i="5" s="1"/>
  <c r="H293" i="5"/>
  <c r="E22" i="3" s="1"/>
  <c r="D45" i="20"/>
  <c r="H261" i="5"/>
  <c r="G261" i="5"/>
  <c r="E22" i="1"/>
  <c r="E19" i="1"/>
  <c r="C20" i="1"/>
  <c r="C27" i="1" s="1"/>
  <c r="G274" i="5"/>
  <c r="H274" i="5"/>
  <c r="E21" i="3" s="1"/>
  <c r="G7" i="5"/>
  <c r="G18" i="5" s="1"/>
  <c r="D10" i="1" s="1"/>
  <c r="E7" i="27" s="1"/>
  <c r="E30" i="27" s="1"/>
  <c r="E20" i="1"/>
  <c r="H308" i="5"/>
  <c r="D20" i="1"/>
  <c r="C23" i="4"/>
  <c r="F497" i="5"/>
  <c r="H281" i="5"/>
  <c r="G181" i="5"/>
  <c r="E18" i="3"/>
  <c r="E27" i="1" l="1"/>
  <c r="D27" i="1"/>
  <c r="D228" i="5"/>
  <c r="D234" i="5" s="1"/>
  <c r="E311" i="27"/>
  <c r="D9" i="20"/>
  <c r="G40" i="5"/>
  <c r="D11" i="1"/>
  <c r="G184" i="5"/>
  <c r="G185" i="5" s="1"/>
  <c r="G498" i="5"/>
  <c r="D21" i="3"/>
  <c r="G505" i="5"/>
  <c r="A188" i="5"/>
  <c r="A197" i="5" s="1"/>
  <c r="B16" i="3" s="1"/>
  <c r="H234" i="5"/>
  <c r="F185" i="5"/>
  <c r="F498" i="5"/>
  <c r="F501" i="5" s="1"/>
  <c r="C10" i="1"/>
  <c r="H505" i="5"/>
  <c r="E26" i="3"/>
  <c r="C11" i="1"/>
  <c r="E11" i="1"/>
  <c r="E10" i="1"/>
  <c r="C34" i="3" l="1"/>
  <c r="E32" i="3"/>
  <c r="E34" i="3" s="1"/>
  <c r="C12" i="3"/>
  <c r="C18" i="3" s="1"/>
  <c r="D12" i="3"/>
  <c r="D18" i="3" s="1"/>
  <c r="E16" i="1"/>
  <c r="E29" i="1" s="1"/>
  <c r="A211" i="5"/>
  <c r="B32" i="3" s="1"/>
  <c r="B24" i="1" s="1"/>
  <c r="D7" i="27"/>
  <c r="D30" i="27" s="1"/>
  <c r="C16" i="1"/>
  <c r="C29" i="1" s="1"/>
  <c r="D32" i="27"/>
  <c r="D50" i="27" s="1"/>
  <c r="C10" i="20" s="1"/>
  <c r="E32" i="27"/>
  <c r="G509" i="5"/>
  <c r="H509" i="5"/>
  <c r="D26" i="3"/>
  <c r="E28" i="3"/>
  <c r="G501" i="5"/>
  <c r="H501" i="5"/>
  <c r="D16" i="1"/>
  <c r="D29" i="1" s="1"/>
  <c r="D33" i="1" s="1"/>
  <c r="D12" i="4" s="1"/>
  <c r="E41" i="3" l="1"/>
  <c r="A263" i="5"/>
  <c r="D28" i="3"/>
  <c r="D41" i="3" s="1"/>
  <c r="C33" i="1"/>
  <c r="C12" i="4" s="1"/>
  <c r="D102" i="27"/>
  <c r="D105" i="27" s="1"/>
  <c r="C13" i="20" s="1"/>
  <c r="C9" i="20"/>
  <c r="E50" i="27"/>
  <c r="D10" i="20" s="1"/>
  <c r="E33" i="1"/>
  <c r="A287" i="5"/>
  <c r="B21" i="3"/>
  <c r="E102" i="27" l="1"/>
  <c r="C18" i="20"/>
  <c r="C38" i="20" s="1"/>
  <c r="F45" i="20" s="1"/>
  <c r="D160" i="27"/>
  <c r="E12" i="4"/>
  <c r="E16" i="4" s="1"/>
  <c r="A295" i="5"/>
  <c r="B22" i="3"/>
  <c r="B38" i="3" l="1"/>
  <c r="B23" i="3"/>
  <c r="E105" i="27"/>
  <c r="A312" i="5"/>
  <c r="B24" i="3" l="1"/>
  <c r="D13" i="20"/>
  <c r="D18" i="20" s="1"/>
  <c r="D38" i="20" s="1"/>
  <c r="G45" i="20" s="1"/>
  <c r="E160" i="27"/>
  <c r="E18" i="4"/>
  <c r="C10" i="4"/>
  <c r="A330" i="5"/>
  <c r="F274" i="5"/>
  <c r="C21" i="3" s="1"/>
  <c r="C26" i="3" s="1"/>
  <c r="F277" i="5"/>
  <c r="F281" i="5" s="1"/>
  <c r="A364" i="5" l="1"/>
  <c r="A375" i="5" s="1"/>
  <c r="A422" i="5" s="1"/>
  <c r="A441" i="5" s="1"/>
  <c r="A447" i="5" s="1"/>
  <c r="B17" i="3"/>
  <c r="B25" i="3"/>
  <c r="C16" i="4"/>
  <c r="C25" i="4" s="1"/>
  <c r="C44" i="3" s="1"/>
  <c r="F505" i="5"/>
  <c r="F509" i="5" s="1"/>
  <c r="A484" i="5" l="1"/>
  <c r="A487" i="5"/>
  <c r="C18" i="4"/>
  <c r="C28" i="3"/>
  <c r="C41" i="3" s="1"/>
  <c r="A512" i="5" l="1"/>
  <c r="G281" i="5" l="1"/>
  <c r="C21" i="4"/>
  <c r="C22" i="4" s="1"/>
  <c r="E23" i="4"/>
  <c r="E25" i="4" s="1"/>
  <c r="E44" i="3" s="1"/>
  <c r="D23" i="4"/>
  <c r="D10" i="4" s="1"/>
  <c r="D16" i="4" s="1"/>
  <c r="D18" i="4" s="1"/>
  <c r="B169" i="5" l="1"/>
  <c r="D25" i="4"/>
  <c r="D4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Kirstin Blackburn</author>
  </authors>
  <commentList>
    <comment ref="D15" authorId="0" shapeId="0" xr:uid="{00000000-0006-0000-0B00-000001000000}">
      <text>
        <r>
          <rPr>
            <b/>
            <sz val="9"/>
            <color indexed="81"/>
            <rFont val="Tahoma"/>
            <charset val="1"/>
          </rPr>
          <t>Kirstin Blackburn:</t>
        </r>
        <r>
          <rPr>
            <sz val="9"/>
            <color indexed="81"/>
            <rFont val="Tahoma"/>
            <charset val="1"/>
          </rPr>
          <t xml:space="preserve">
9115 $130,036 plus 9120 $415599
</t>
        </r>
      </text>
    </comment>
  </commentList>
</comments>
</file>

<file path=xl/sharedStrings.xml><?xml version="1.0" encoding="utf-8"?>
<sst xmlns="http://schemas.openxmlformats.org/spreadsheetml/2006/main" count="3658" uniqueCount="1765">
  <si>
    <t>Cash flows from Investing Activities</t>
  </si>
  <si>
    <t>Proceeds from Sale of PPE (and Intangibles)</t>
  </si>
  <si>
    <t>Purchase of PPE (and Intangibles)</t>
  </si>
  <si>
    <t>Purchase of Investments</t>
  </si>
  <si>
    <t>Proceeds from Sale of Investments</t>
  </si>
  <si>
    <t>Cash flows from Financing Activities</t>
  </si>
  <si>
    <t>Finance Lease Payments</t>
  </si>
  <si>
    <t xml:space="preserve">Painting contract payments </t>
  </si>
  <si>
    <t>Loans Received/ Repayment of Loans</t>
  </si>
  <si>
    <t>Net increase/(decrease) in cash and cash equivalents</t>
  </si>
  <si>
    <t>Cash and cash equivalents at the beginning of the year</t>
  </si>
  <si>
    <t>Cash and cash equivalents at the end of the year</t>
  </si>
  <si>
    <t>PBE Accounting Standards Reduced Disclosure Regime</t>
  </si>
  <si>
    <t>These financial statements are presented in New Zealand dollars, rounded to the nearest dollar.</t>
  </si>
  <si>
    <t>Ent</t>
  </si>
  <si>
    <t>BOT Election Grant</t>
  </si>
  <si>
    <t>Attached Teachers RVI</t>
  </si>
  <si>
    <t>Attached Teachers RVI Travel</t>
  </si>
  <si>
    <t>DOA - Board Support</t>
  </si>
  <si>
    <t>DOA - Assessment &amp; Training</t>
  </si>
  <si>
    <t>ECC Moderate Bldg Knowledge</t>
  </si>
  <si>
    <t>ECC Moderate Dom</t>
  </si>
  <si>
    <t>ORS - Homai Campus School</t>
  </si>
  <si>
    <t>ORS - Aggregated (Admin)</t>
  </si>
  <si>
    <t>ORS - Aggregated (Travel)</t>
  </si>
  <si>
    <t>ORS Aggregated (Base)</t>
  </si>
  <si>
    <t>ECC Grants</t>
  </si>
  <si>
    <t>ECC Expense Recoveries</t>
  </si>
  <si>
    <t>Playground Donations&amp;Grants</t>
  </si>
  <si>
    <t>ECC Expenses (Grant)</t>
  </si>
  <si>
    <t>RNZF Reimbursements</t>
  </si>
  <si>
    <t>Auckland South VRC Income</t>
  </si>
  <si>
    <t>Auckland South VRC Expenses</t>
  </si>
  <si>
    <t>Northland VRC Income</t>
  </si>
  <si>
    <t>Northland VRC Expenses</t>
  </si>
  <si>
    <t>Auckland North VRC Income</t>
  </si>
  <si>
    <t>Auckland North VRC Expenses</t>
  </si>
  <si>
    <t>Nelson VRC - Income</t>
  </si>
  <si>
    <t>Nelson VRC Expenses</t>
  </si>
  <si>
    <t>Otago VRC - Income</t>
  </si>
  <si>
    <t>Otago VRC - Expenses</t>
  </si>
  <si>
    <t>Southland VRC - Income</t>
  </si>
  <si>
    <t>Southland VRC - Expenses</t>
  </si>
  <si>
    <t>Christchurch VRC - Income</t>
  </si>
  <si>
    <t>Christchurch VRC - Expenses</t>
  </si>
  <si>
    <t>Palmerston North VRC - Income</t>
  </si>
  <si>
    <t>Hamilton VRC - Income</t>
  </si>
  <si>
    <t>Music Income</t>
  </si>
  <si>
    <t>Vehicle Rental/Lease</t>
  </si>
  <si>
    <t>Vehicle Rental/ Lease</t>
  </si>
  <si>
    <t>Vehicle Rental</t>
  </si>
  <si>
    <t>Legal Fees</t>
  </si>
  <si>
    <t>ASB Term Investment 87</t>
  </si>
  <si>
    <t>ASB Term Investment 89</t>
  </si>
  <si>
    <t>Work in progress</t>
  </si>
  <si>
    <t>Hamilton VRC - Expenses</t>
  </si>
  <si>
    <t>Tauranga VRC - Income</t>
  </si>
  <si>
    <t>Tauranga VRC - Expenses</t>
  </si>
  <si>
    <t>Taranaki VRC - Income</t>
  </si>
  <si>
    <t>Taranaki VRC - Expenses</t>
  </si>
  <si>
    <t>Napier VRC - Income</t>
  </si>
  <si>
    <t>Napier VRC - Expenses</t>
  </si>
  <si>
    <t>Gisborne VRC - Income</t>
  </si>
  <si>
    <t>Gisborne VRC - Expenses</t>
  </si>
  <si>
    <t>Wellington VRC - Income</t>
  </si>
  <si>
    <t>Wellington VRC - Expenses</t>
  </si>
  <si>
    <t>Salaries - Banked Staffing Under-usage</t>
  </si>
  <si>
    <t>Programme Costs</t>
  </si>
  <si>
    <t>Premises Rental - Kelburn</t>
  </si>
  <si>
    <t>Regional Stationery</t>
  </si>
  <si>
    <t>ITM - Salary</t>
  </si>
  <si>
    <t>Music School Contract Workers</t>
  </si>
  <si>
    <t>ITM - Travel Reimbursements</t>
  </si>
  <si>
    <t>ITM - Equip Maintenance</t>
  </si>
  <si>
    <t>ITM - Consumables</t>
  </si>
  <si>
    <t>Recent Vision Loss</t>
  </si>
  <si>
    <t>Cash from Operating Activities</t>
  </si>
  <si>
    <t>Cash from Investing Activities</t>
  </si>
  <si>
    <t>Cash from Financing Activities</t>
  </si>
  <si>
    <t xml:space="preserve">Less other expenses </t>
  </si>
  <si>
    <t>Less non wages codes in admin wages</t>
  </si>
  <si>
    <t>46800,46820,46880,46885,46886</t>
  </si>
  <si>
    <t>57485;57487</t>
  </si>
  <si>
    <t>Less non wages codes in property wages</t>
  </si>
  <si>
    <t>Less non wages codes in vrc</t>
  </si>
  <si>
    <t>35205,62550,63550</t>
  </si>
  <si>
    <t>Other expenses</t>
  </si>
  <si>
    <t>Wages under Kickstart 32040</t>
  </si>
  <si>
    <t>37316,37730</t>
  </si>
  <si>
    <t>Less non wages codes in National assessment</t>
  </si>
  <si>
    <t>Less non wages codes in ORRS</t>
  </si>
  <si>
    <t>Less non wages codes in ORRS Orientation</t>
  </si>
  <si>
    <t>33502,33510</t>
  </si>
  <si>
    <t>Less non wages codes in residential</t>
  </si>
  <si>
    <t>38250,38260,38280</t>
  </si>
  <si>
    <t>Wages under Catering costs, Residential (38500,34700)</t>
  </si>
  <si>
    <t>Wages under Immersion(38940,38930,38929)</t>
  </si>
  <si>
    <t>Regional Cost 35171,35525,35900,60000,35160,60250</t>
  </si>
  <si>
    <t>Learning - PD 61800</t>
  </si>
  <si>
    <t>Unkown difference</t>
  </si>
  <si>
    <t>unkown difference</t>
  </si>
  <si>
    <t>Low Vision Year 13+</t>
  </si>
  <si>
    <t>Parent Courses</t>
  </si>
  <si>
    <t>BOT - Administration &amp; Sub</t>
  </si>
  <si>
    <t>BOT - Attendance Fees</t>
  </si>
  <si>
    <t>BOT - Elections</t>
  </si>
  <si>
    <t>BOT - Subscriptions</t>
  </si>
  <si>
    <t>BOT - Training</t>
  </si>
  <si>
    <t>BOT - Travel</t>
  </si>
  <si>
    <t>Building Servicing expenses</t>
  </si>
  <si>
    <t>Regional ORS Therapy</t>
  </si>
  <si>
    <t>Regional ORS Res Development</t>
  </si>
  <si>
    <t>Travel &amp; Accomodation</t>
  </si>
  <si>
    <t>Course Fees</t>
  </si>
  <si>
    <t>Course Materials</t>
  </si>
  <si>
    <t>Supervisory Travel &amp; Accom</t>
  </si>
  <si>
    <t>Massey Costs</t>
  </si>
  <si>
    <t>Massey Travel Costs</t>
  </si>
  <si>
    <t>RTV Travel &amp; Accom</t>
  </si>
  <si>
    <t>Resources</t>
  </si>
  <si>
    <t>Staff Training/Conference</t>
  </si>
  <si>
    <t>Textbooks</t>
  </si>
  <si>
    <t>Equipment repairs</t>
  </si>
  <si>
    <t>Homai Campus Income</t>
  </si>
  <si>
    <t>Homai Campus Expenses</t>
  </si>
  <si>
    <t>Loss on Disposal of Property, Plant and Equipment</t>
  </si>
  <si>
    <t>Gain on Sale of Property, Plant and Equipment</t>
  </si>
  <si>
    <t>Salaries - Relievers</t>
  </si>
  <si>
    <t>Distance Braille Training/Salaries</t>
  </si>
  <si>
    <t>Distance Braille - Consumables</t>
  </si>
  <si>
    <t>PD Staffing</t>
  </si>
  <si>
    <t>PD Travel &amp; Accomodation</t>
  </si>
  <si>
    <t>PD Consumables</t>
  </si>
  <si>
    <t>Salaries - Residential Staff</t>
  </si>
  <si>
    <t>Salaries - Administration</t>
  </si>
  <si>
    <t>Salaries - Other</t>
  </si>
  <si>
    <t>Interest Accrual</t>
  </si>
  <si>
    <t>C201</t>
  </si>
  <si>
    <t>C523</t>
  </si>
  <si>
    <t>C524</t>
  </si>
  <si>
    <t>C678</t>
  </si>
  <si>
    <t>Donated Library books</t>
  </si>
  <si>
    <t>Operating Leases</t>
  </si>
  <si>
    <t>Cyclical maintenance</t>
  </si>
  <si>
    <t>Rates</t>
  </si>
  <si>
    <t>The carrying value of short-term deposits with maturity dates of three months or less approximates their fair value.</t>
  </si>
  <si>
    <t>Interest accrued</t>
  </si>
  <si>
    <t>Receivables from Exhange transactions</t>
  </si>
  <si>
    <t>Receivables from non-exhange transactions</t>
  </si>
  <si>
    <t>The school's investment activities are classified as follows</t>
  </si>
  <si>
    <t>Non-current Asset</t>
  </si>
  <si>
    <t>Long-term bank deposits with maturities greater than one year</t>
  </si>
  <si>
    <t>Opening
Balance(NBV)</t>
  </si>
  <si>
    <t>Additions</t>
  </si>
  <si>
    <t>Disposals</t>
  </si>
  <si>
    <t>Impairment</t>
  </si>
  <si>
    <t>Total(NBV)</t>
  </si>
  <si>
    <t>Cost or
Valuation</t>
  </si>
  <si>
    <t>Accumulated
Depreciation</t>
  </si>
  <si>
    <t>Net Book
Value</t>
  </si>
  <si>
    <t>Accruals</t>
  </si>
  <si>
    <t>Creditors and Accruals for PPE items</t>
  </si>
  <si>
    <t>Employee benefits - leave accrual</t>
  </si>
  <si>
    <t>Payable for exchange transactions</t>
  </si>
  <si>
    <t>Payable for non-exchange transactions - Taxes payable</t>
  </si>
  <si>
    <t>Payables for non-exchange transactions - other</t>
  </si>
  <si>
    <t>Cyclical maintenance - Current</t>
  </si>
  <si>
    <t>Key management personnel compensation</t>
  </si>
  <si>
    <t>MOE Portion Operation Lease</t>
  </si>
  <si>
    <t>Jumpstart</t>
  </si>
  <si>
    <t xml:space="preserve">The total value of remuneration paid or payable to the Principal was in the following bands: </t>
  </si>
  <si>
    <t>The number of other employees with remuneration greater than $100,000 was in the following bands</t>
  </si>
  <si>
    <t>FTE number</t>
  </si>
  <si>
    <t>Remuneration</t>
  </si>
  <si>
    <t>Events after balance date</t>
  </si>
  <si>
    <t>Managing capital</t>
  </si>
  <si>
    <t>The school's capital is its equity and comprises capital contributions from the ministry of Education for property, plant and equipment, and accumulated surpluses and deficits.  The school does not actively manage capital but "attempts" to ensure that income exceeds spending in most years.  Although deficits can arise as planned in particular years, they are offset by planned surpluses in previous years or ensuing years.</t>
  </si>
  <si>
    <t>The carrying amount of financial assets and liabilities in each of the financial instruments categories are as follows:</t>
  </si>
  <si>
    <t>Receivables</t>
  </si>
  <si>
    <t>Investments - Term deposits</t>
  </si>
  <si>
    <t>Financial liabilities measured at amortised cost</t>
  </si>
  <si>
    <t>Payables</t>
  </si>
  <si>
    <t>Borrowings - Loans</t>
  </si>
  <si>
    <t>Finance leases</t>
  </si>
  <si>
    <t>Total financial liabilities measured at amortised cost</t>
  </si>
  <si>
    <t>LY</t>
  </si>
  <si>
    <t>Short-term employee entitlements</t>
  </si>
  <si>
    <t>Revenue</t>
  </si>
  <si>
    <t>3 years</t>
  </si>
  <si>
    <t>b) Basis of Preparation</t>
  </si>
  <si>
    <t>a) Reporting Entity</t>
  </si>
  <si>
    <t>Government Grants</t>
  </si>
  <si>
    <t xml:space="preserve">Land and buildings owned by the Crown are excluded from these financial statements.  The Board’s use of the land and buildings as ‘occupant’ is based on a property occupancy document.  </t>
  </si>
  <si>
    <t>Donations</t>
  </si>
  <si>
    <t>Payroll reconciliation</t>
  </si>
  <si>
    <t>Teacher salaries</t>
  </si>
  <si>
    <t>GL</t>
  </si>
  <si>
    <t>SAAR</t>
  </si>
  <si>
    <t>Error report</t>
  </si>
  <si>
    <t>Bulk Grant salaries</t>
  </si>
  <si>
    <t>Learning wages</t>
  </si>
  <si>
    <t>Admin Wages</t>
  </si>
  <si>
    <t>Property Wages</t>
  </si>
  <si>
    <t>National Assesment</t>
  </si>
  <si>
    <t>Activities/Trading</t>
  </si>
  <si>
    <t>ORRS wages</t>
  </si>
  <si>
    <t>ORRS Orientation and Mobility</t>
  </si>
  <si>
    <t>National assesment under catering code 37500</t>
  </si>
  <si>
    <t>Music Teacher  35800</t>
  </si>
  <si>
    <t>(SAAR)</t>
  </si>
  <si>
    <t>Index</t>
  </si>
  <si>
    <t>Page</t>
  </si>
  <si>
    <t>Statement</t>
  </si>
  <si>
    <t>Statement of Comprehensive Revenue and Expenses</t>
  </si>
  <si>
    <t>Statement of Changes in Net Assets/Equity</t>
  </si>
  <si>
    <t>Statement of Accounting Policies</t>
  </si>
  <si>
    <t>and the judgements used in these financial statements.</t>
  </si>
  <si>
    <t>The management (including the principal and others as directed by the Board) accepts responsibility</t>
  </si>
  <si>
    <t>for establishing and maintaining a system of internal controls designed to provide reasonable</t>
  </si>
  <si>
    <t>assurance as to the integrity and reliability of the school's financial reporting.</t>
  </si>
  <si>
    <t>It is the opinion of the Board and management that the annual financial statements for the financial year</t>
  </si>
  <si>
    <t>Full Name of Principal</t>
  </si>
  <si>
    <t>Signature of Principal</t>
  </si>
  <si>
    <t>Date:</t>
  </si>
  <si>
    <t>The Board of Trustees (the Board) has pleasure in presenting the annual report of Blind and Low Vision</t>
  </si>
  <si>
    <t>Education Network NZ incorporating the financial statements and the auditor's report, for the year ended</t>
  </si>
  <si>
    <t>(Unaudited)</t>
  </si>
  <si>
    <t>Total comprehensive revenue and expenses for the year</t>
  </si>
  <si>
    <t xml:space="preserve">   Contribution - Furniture and Equipment grant</t>
  </si>
  <si>
    <t>Reserves</t>
  </si>
  <si>
    <t>GST Receivable</t>
  </si>
  <si>
    <t>Revenue received in advance</t>
  </si>
  <si>
    <t>Working Capital Surplus or (Deficit)</t>
  </si>
  <si>
    <t>Note</t>
  </si>
  <si>
    <t>Budget (Unaudited)</t>
  </si>
  <si>
    <t>Cash flows from Operating Activities</t>
  </si>
  <si>
    <t>Locally Raised Funds</t>
  </si>
  <si>
    <t>Payments to Employees</t>
  </si>
  <si>
    <t>Payments to Suppliers</t>
  </si>
  <si>
    <t>Interest Paid</t>
  </si>
  <si>
    <t xml:space="preserve">     Donations - Playground</t>
  </si>
  <si>
    <t>December</t>
  </si>
  <si>
    <t>Risk Management Premium</t>
  </si>
  <si>
    <t>* OPERATING GRANT</t>
  </si>
  <si>
    <t>Operating Grant</t>
  </si>
  <si>
    <t>Kiwisport Grant</t>
  </si>
  <si>
    <t>Residential Grant</t>
  </si>
  <si>
    <t>Music School Income</t>
  </si>
  <si>
    <t>Visual Resource Centre</t>
  </si>
  <si>
    <t>Teachers Salaries Grant</t>
  </si>
  <si>
    <t>* OTHER GOVERNMENT GRANTS</t>
  </si>
  <si>
    <t>Teacher Aide PD MOE grants</t>
  </si>
  <si>
    <t>* OTHER GRANTS</t>
  </si>
  <si>
    <t>ACC Teacher Aide</t>
  </si>
  <si>
    <t>Other Grants</t>
  </si>
  <si>
    <t>National Assessment Recoveries</t>
  </si>
  <si>
    <t>Maori Research Project</t>
  </si>
  <si>
    <t>Vision Edu Agency Contract</t>
  </si>
  <si>
    <t>* INVESTMENT INCOME</t>
  </si>
  <si>
    <t>Interest Received</t>
  </si>
  <si>
    <t>** LOCALLY RAISED FUNDS</t>
  </si>
  <si>
    <t>* FUNDRAISING</t>
  </si>
  <si>
    <t>Donations -Parents</t>
  </si>
  <si>
    <t>Donations - Other</t>
  </si>
  <si>
    <t>Commissions</t>
  </si>
  <si>
    <t>Fundraising Income</t>
  </si>
  <si>
    <t>Fundraising Expenditure</t>
  </si>
  <si>
    <t>Immersion Course Accommodation</t>
  </si>
  <si>
    <t>Sponsorships Received</t>
  </si>
  <si>
    <t>Sundry Income</t>
  </si>
  <si>
    <t>Sundry Expenditure</t>
  </si>
  <si>
    <t>Use of Land and Buildings</t>
  </si>
  <si>
    <t>* ACTIVITIES</t>
  </si>
  <si>
    <t>Activities Income</t>
  </si>
  <si>
    <t>Activities Expenditure</t>
  </si>
  <si>
    <t>ICT Cluster  - MOE Contract</t>
  </si>
  <si>
    <t>Staff Travel &amp; Accommodation</t>
  </si>
  <si>
    <t>Kickstart Income</t>
  </si>
  <si>
    <t>Kickstart Expenditure</t>
  </si>
  <si>
    <t>Hostel Income</t>
  </si>
  <si>
    <t>Hostel Expense</t>
  </si>
  <si>
    <t>Itinerant Income</t>
  </si>
  <si>
    <t>Itinerant Inservice Expense</t>
  </si>
  <si>
    <t>Braille Training Inc</t>
  </si>
  <si>
    <t>Braille Training Exp</t>
  </si>
  <si>
    <t>O&amp;M Income</t>
  </si>
  <si>
    <t>* TRADING</t>
  </si>
  <si>
    <t>Hire School Facilities Income</t>
  </si>
  <si>
    <t>Hire School Facilities Expd</t>
  </si>
  <si>
    <t>Rental Income</t>
  </si>
  <si>
    <t>Rental Expenditure</t>
  </si>
  <si>
    <t>Hostels Trading Income</t>
  </si>
  <si>
    <t>Hostels Trading Expenditure</t>
  </si>
  <si>
    <t>Vision Clinic Trading Income</t>
  </si>
  <si>
    <t>Vision Clinic Trading Expd</t>
  </si>
  <si>
    <t>Palmerston North VRC - Expense</t>
  </si>
  <si>
    <t>** DEPRECIATION</t>
  </si>
  <si>
    <t>* CYCLICAL MAINTENANCE</t>
  </si>
  <si>
    <t>Cyclical Maintenance</t>
  </si>
  <si>
    <t>R&amp;M - Classroom Equipment</t>
  </si>
  <si>
    <t>R&amp;M - Computer Equipment</t>
  </si>
  <si>
    <t>Reimbursements</t>
  </si>
  <si>
    <t>Subscriptions</t>
  </si>
  <si>
    <t>Telephone/Tolls/Faxes</t>
  </si>
  <si>
    <t>Salaries - Ancillary</t>
  </si>
  <si>
    <t>Annual Leave Expenses</t>
  </si>
  <si>
    <t>Salaries - Relieving - Sick</t>
  </si>
  <si>
    <t>Teachers Salaries</t>
  </si>
  <si>
    <t>Acc Funded Teacher Aide</t>
  </si>
  <si>
    <t>Prof Dev - Training &amp; Travel</t>
  </si>
  <si>
    <t>Classrooms</t>
  </si>
  <si>
    <t>Nz Curriculum</t>
  </si>
  <si>
    <t>Expanded Core Curriculum</t>
  </si>
  <si>
    <t>Photocopying</t>
  </si>
  <si>
    <t>Esol</t>
  </si>
  <si>
    <t>Ict-Consumables</t>
  </si>
  <si>
    <t>Special Education</t>
  </si>
  <si>
    <t>Tela Teachers Laptop Lease</t>
  </si>
  <si>
    <t>General Consumables</t>
  </si>
  <si>
    <t>Stationery</t>
  </si>
  <si>
    <t>Postage</t>
  </si>
  <si>
    <t>Playground Consumables</t>
  </si>
  <si>
    <t>Food</t>
  </si>
  <si>
    <t>Salaries - Kickstart</t>
  </si>
  <si>
    <t>Teacher Aides/Asst Salaries</t>
  </si>
  <si>
    <t>Acc Levies</t>
  </si>
  <si>
    <t>Recruitment/Advertising</t>
  </si>
  <si>
    <t>Training &amp; Developemet</t>
  </si>
  <si>
    <t>Allowances</t>
  </si>
  <si>
    <t>Salaries</t>
  </si>
  <si>
    <t>Tactile Production</t>
  </si>
  <si>
    <t>Volunteer Expenses</t>
  </si>
  <si>
    <t>Adviser to the Deaf</t>
  </si>
  <si>
    <t>Petrol</t>
  </si>
  <si>
    <t>Vehicle Registration</t>
  </si>
  <si>
    <t>Vehicle R&amp;M</t>
  </si>
  <si>
    <t>Vehicle Lease</t>
  </si>
  <si>
    <t>Vehicle Insurance</t>
  </si>
  <si>
    <t>Speech Language Therapy</t>
  </si>
  <si>
    <t>Occupational Therapy</t>
  </si>
  <si>
    <t>Physiotheraphy</t>
  </si>
  <si>
    <t>Horticultural Therapist</t>
  </si>
  <si>
    <t>Riding For Disabled</t>
  </si>
  <si>
    <t>Music Therapy</t>
  </si>
  <si>
    <t>Slt, Ot &amp; Physiotherapy</t>
  </si>
  <si>
    <t>Psychologist Support From Gse</t>
  </si>
  <si>
    <t>Teacher Aide Time</t>
  </si>
  <si>
    <t>Braille Music</t>
  </si>
  <si>
    <t>Music Therapist</t>
  </si>
  <si>
    <t>Alternative Therapy</t>
  </si>
  <si>
    <t>Interpreter Expenses</t>
  </si>
  <si>
    <t>Taxi Escorts</t>
  </si>
  <si>
    <t>Student Consumables Ors</t>
  </si>
  <si>
    <t>Rubbish Disposal - Nappies</t>
  </si>
  <si>
    <t>Laundry</t>
  </si>
  <si>
    <t>General Stores</t>
  </si>
  <si>
    <t>Food Programme Costs</t>
  </si>
  <si>
    <t>Courier</t>
  </si>
  <si>
    <t>Braille Music Teacher Contract</t>
  </si>
  <si>
    <t>Printing/Stationery</t>
  </si>
  <si>
    <t>Travel/Accommodation</t>
  </si>
  <si>
    <t>Consultancy - Rnzfb</t>
  </si>
  <si>
    <t>Consultancy - Moving Forward</t>
  </si>
  <si>
    <t>O&amp;M Website Resource</t>
  </si>
  <si>
    <t>Teacher Aide PD</t>
  </si>
  <si>
    <t>Projects - Vea</t>
  </si>
  <si>
    <t>Kapo Maori Research Project</t>
  </si>
  <si>
    <t>South Auckland Project Trust</t>
  </si>
  <si>
    <t>South Auck Project Trust Exp</t>
  </si>
  <si>
    <t>Staffing</t>
  </si>
  <si>
    <t>Telephone/Tolls/Fax</t>
  </si>
  <si>
    <t>Publications</t>
  </si>
  <si>
    <t>Staff Training/Conferences</t>
  </si>
  <si>
    <t>Staff Travel/Accommodation</t>
  </si>
  <si>
    <t>Telephone/Tolls/Fax Ict Co-Ord</t>
  </si>
  <si>
    <t>Photocopying Ict Co-Ord</t>
  </si>
  <si>
    <t>Printing/Stationery Ict Co-Ord</t>
  </si>
  <si>
    <t>Consumables Ict Co-Ord</t>
  </si>
  <si>
    <t>Ict Expenses Ict Co-Ord</t>
  </si>
  <si>
    <t>Publications Itc Co-Ord</t>
  </si>
  <si>
    <t>Staff Training/Conferences Ict</t>
  </si>
  <si>
    <t>Staff Travel/Accomodation</t>
  </si>
  <si>
    <t>Vehicle Maintenance</t>
  </si>
  <si>
    <t>Property Rental Auck Vrc</t>
  </si>
  <si>
    <t>Equipment Maintenance</t>
  </si>
  <si>
    <t>Subs/Membership Fees</t>
  </si>
  <si>
    <t>Renovations</t>
  </si>
  <si>
    <t>Muffin Break expense</t>
  </si>
  <si>
    <t>Regional Network Staffing</t>
  </si>
  <si>
    <t>Lower Ni Regional Meetings</t>
  </si>
  <si>
    <t>South Island Regional Meetings</t>
  </si>
  <si>
    <t>Regional Network Staffing Oper</t>
  </si>
  <si>
    <t>Upper Ni Regional Meetings</t>
  </si>
  <si>
    <t>Resource Production</t>
  </si>
  <si>
    <t>Telephone</t>
  </si>
  <si>
    <t>Printing / Stationery</t>
  </si>
  <si>
    <t>Subs / Membership Fees</t>
  </si>
  <si>
    <t>Staff Training / Conferences</t>
  </si>
  <si>
    <t>Staff Travel / Accommodation</t>
  </si>
  <si>
    <t>Building Move Cost</t>
  </si>
  <si>
    <t>Mgmt Mtgs (Lower Nth Island)</t>
  </si>
  <si>
    <t>Mgmt Mtgs (South Island)</t>
  </si>
  <si>
    <t>Mgmt Mtgs (Upper Nth Island)</t>
  </si>
  <si>
    <t>Regional Funded Pd</t>
  </si>
  <si>
    <t>International Visiting Speaker</t>
  </si>
  <si>
    <t>Round Table &amp; SEPANZ</t>
  </si>
  <si>
    <t>Relieving Teachers</t>
  </si>
  <si>
    <t>Assistive Technology Group</t>
  </si>
  <si>
    <t>National Equipment Maintenance</t>
  </si>
  <si>
    <t>ACC levies</t>
  </si>
  <si>
    <t>Staff Training /Conferences</t>
  </si>
  <si>
    <t>Staff Travel &amp; Accomodation</t>
  </si>
  <si>
    <t>Difference</t>
  </si>
  <si>
    <t>Fundraising Expenses</t>
  </si>
  <si>
    <t>Activities Expenses</t>
  </si>
  <si>
    <t>Trading Income</t>
  </si>
  <si>
    <t>Trading Expenses</t>
  </si>
  <si>
    <t>Repairs and Maintenance</t>
  </si>
  <si>
    <t>Employee Benefits-salaries</t>
  </si>
  <si>
    <t>Staff Development</t>
  </si>
  <si>
    <t>Board of Trustees Fees</t>
  </si>
  <si>
    <t>Board of Trustees Expenses</t>
  </si>
  <si>
    <t>Communication</t>
  </si>
  <si>
    <t>Operating leases</t>
  </si>
  <si>
    <t>Heat, Light and Water</t>
  </si>
  <si>
    <t>Use of land and Buildings</t>
  </si>
  <si>
    <t>Vision Resources Centres</t>
  </si>
  <si>
    <t>Tel Rental/Tolls/Fax</t>
  </si>
  <si>
    <t>Muffin Break Expenses</t>
  </si>
  <si>
    <t>Salaries  Ec</t>
  </si>
  <si>
    <t>Telephone Rental/ Tolls/ Fax</t>
  </si>
  <si>
    <t>Property Rental - External</t>
  </si>
  <si>
    <t>Educational Resources</t>
  </si>
  <si>
    <t>Itinerant Music Costs</t>
  </si>
  <si>
    <t>Staff Training/ Conferences</t>
  </si>
  <si>
    <t>Regional Leased Cards</t>
  </si>
  <si>
    <t>Regional Vehicle Maintenance</t>
  </si>
  <si>
    <t>Regional Vehicle Insurance</t>
  </si>
  <si>
    <t>Regional Relieving Teachers</t>
  </si>
  <si>
    <t>Regional Relief Teacher Travel</t>
  </si>
  <si>
    <t>Regional Software Licences</t>
  </si>
  <si>
    <t>Regional Consumables</t>
  </si>
  <si>
    <t>VRC New Property Consumables</t>
  </si>
  <si>
    <t>Telephone Rental/Tolls/Faxes</t>
  </si>
  <si>
    <t>karen.stobbs@blennz.school.nz</t>
  </si>
  <si>
    <t>Restricted Equity at start of the year</t>
  </si>
  <si>
    <t xml:space="preserve">Transfer Homai Special Funds </t>
  </si>
  <si>
    <t>Restricted Equity at the end of the year</t>
  </si>
  <si>
    <t>Music School - Acc</t>
  </si>
  <si>
    <t>Music School</t>
  </si>
  <si>
    <t>Postage / Courier</t>
  </si>
  <si>
    <t>Workshop Expenses</t>
  </si>
  <si>
    <t>Teaching Resources</t>
  </si>
  <si>
    <t>Staffing Ecc</t>
  </si>
  <si>
    <t>Telephone/Tolls/Fax Ec</t>
  </si>
  <si>
    <t>Photocopying Ec</t>
  </si>
  <si>
    <t>Printing/Stationery Ec</t>
  </si>
  <si>
    <t>Consumables Ec</t>
  </si>
  <si>
    <t>Publications Ec</t>
  </si>
  <si>
    <t>Staff Training/Conferences Ec</t>
  </si>
  <si>
    <t>Staff Travel/Accommodation Ec</t>
  </si>
  <si>
    <t>Courier Nas</t>
  </si>
  <si>
    <t>Opthalmologist</t>
  </si>
  <si>
    <t>Assessment Stock On Hand</t>
  </si>
  <si>
    <t>Paediatrician</t>
  </si>
  <si>
    <t>Optometrist</t>
  </si>
  <si>
    <t>Speech Language</t>
  </si>
  <si>
    <t>Audiologist</t>
  </si>
  <si>
    <t>Ses Sp Psychologist</t>
  </si>
  <si>
    <t>Physiotherapy Contract</t>
  </si>
  <si>
    <t>Occupational Therapy Contract</t>
  </si>
  <si>
    <t>Telephone Charges</t>
  </si>
  <si>
    <t>Braille Contract</t>
  </si>
  <si>
    <t>New Building Costs Nat Assess</t>
  </si>
  <si>
    <t>Salaries Admin Nat Assess</t>
  </si>
  <si>
    <t>Payments made under operating leases are recognised in the Statement of Comprehensive Revenue and Expense on a straight line basis over the term of the lease.</t>
  </si>
  <si>
    <t>Window Cleaning</t>
  </si>
  <si>
    <t>General Improvements</t>
  </si>
  <si>
    <t>Swimming Pool Costs</t>
  </si>
  <si>
    <t>Grounds R &amp; M</t>
  </si>
  <si>
    <t>Gas</t>
  </si>
  <si>
    <t>Power</t>
  </si>
  <si>
    <t>Water</t>
  </si>
  <si>
    <t>Caretaker</t>
  </si>
  <si>
    <t>Training</t>
  </si>
  <si>
    <t>Protective Gear</t>
  </si>
  <si>
    <t>Minor Capital Works</t>
  </si>
  <si>
    <t>Painting</t>
  </si>
  <si>
    <t>R&amp;M - Buildings</t>
  </si>
  <si>
    <t>R&amp;M - Fire Sprinkler System</t>
  </si>
  <si>
    <t>Vandalism</t>
  </si>
  <si>
    <t>Rates - School Property/Land</t>
  </si>
  <si>
    <t>Staffing: O&amp;M</t>
  </si>
  <si>
    <t>Contractors: O&amp;M</t>
  </si>
  <si>
    <t>Staffing: Admin Regional Specialist</t>
  </si>
  <si>
    <t>O&amp;M Admin Staffing</t>
  </si>
  <si>
    <t>Co-Ordinator Travel/Accommodat</t>
  </si>
  <si>
    <t>O&amp;M Auckl/Northland Trav/Accom</t>
  </si>
  <si>
    <t>O&amp;M Middle Ni Travel/Accomodat</t>
  </si>
  <si>
    <t>O&amp;M Lower Ni Travel/Accommodat</t>
  </si>
  <si>
    <t>O&amp;M Si Travel/Accommodation</t>
  </si>
  <si>
    <t>Leased Vehicles X 5</t>
  </si>
  <si>
    <t>Paraprofessional Pd</t>
  </si>
  <si>
    <t>Parent PD</t>
  </si>
  <si>
    <t>Blennz Wide Pd</t>
  </si>
  <si>
    <t>Property Rental Costs</t>
  </si>
  <si>
    <t>Set Up Costs</t>
  </si>
  <si>
    <t>Lesson Costs</t>
  </si>
  <si>
    <t>ASB Trust Account</t>
  </si>
  <si>
    <t>Asb Term Deposit #90</t>
  </si>
  <si>
    <t>Asb Term Dep Rnzfb Hsf 79</t>
  </si>
  <si>
    <t>ASB Term investment 86</t>
  </si>
  <si>
    <t>Petty Cash</t>
  </si>
  <si>
    <t>GST Input Tax</t>
  </si>
  <si>
    <t>GST Clearing Account</t>
  </si>
  <si>
    <t>GST Output Tax</t>
  </si>
  <si>
    <t>9115S</t>
  </si>
  <si>
    <t>Teachers Salaries Accrual</t>
  </si>
  <si>
    <t>Staff Banking Underuse</t>
  </si>
  <si>
    <t>Ecc Current Account</t>
  </si>
  <si>
    <t>Stock on Hand</t>
  </si>
  <si>
    <t>Creditors Control</t>
  </si>
  <si>
    <t>Accrued Audit Fee</t>
  </si>
  <si>
    <t>9320S</t>
  </si>
  <si>
    <t>Cyclical Maintenance Provision</t>
  </si>
  <si>
    <t>** NON-CURRENT ASSETS</t>
  </si>
  <si>
    <t>Fixed Assets</t>
  </si>
  <si>
    <t>** NON-CURRENT LIABILITIES</t>
  </si>
  <si>
    <t>Appropriation</t>
  </si>
  <si>
    <t>MOE Capital Contribution</t>
  </si>
  <si>
    <t>* Income in Advance</t>
  </si>
  <si>
    <t>Duke Of Edinburgh Award</t>
  </si>
  <si>
    <t>Gap Student Grant</t>
  </si>
  <si>
    <t>Grant In Advance-Current Year</t>
  </si>
  <si>
    <t>Income In Advance</t>
  </si>
  <si>
    <t>Music Trust</t>
  </si>
  <si>
    <t>Nowak-Kruger Trust</t>
  </si>
  <si>
    <t>Special Ed. Equip. Grant</t>
  </si>
  <si>
    <t>Vision Education Agency</t>
  </si>
  <si>
    <t>* Homai Special Funds</t>
  </si>
  <si>
    <t>System Suspense Account</t>
  </si>
  <si>
    <t>Main Control Account</t>
  </si>
  <si>
    <t>C100</t>
  </si>
  <si>
    <t>** CAPITAL ITEMS</t>
  </si>
  <si>
    <t>C200</t>
  </si>
  <si>
    <t>Disposal of Assets</t>
  </si>
  <si>
    <t>C500</t>
  </si>
  <si>
    <t>C501</t>
  </si>
  <si>
    <t>C502</t>
  </si>
  <si>
    <t>C503</t>
  </si>
  <si>
    <t>C504</t>
  </si>
  <si>
    <t>C505</t>
  </si>
  <si>
    <t>C506</t>
  </si>
  <si>
    <t>C507</t>
  </si>
  <si>
    <t>C508</t>
  </si>
  <si>
    <t>C509</t>
  </si>
  <si>
    <t>C510</t>
  </si>
  <si>
    <t>C511</t>
  </si>
  <si>
    <t>C512</t>
  </si>
  <si>
    <t>B</t>
  </si>
  <si>
    <t>C</t>
  </si>
  <si>
    <t>D</t>
  </si>
  <si>
    <t>TS</t>
  </si>
  <si>
    <t>C513</t>
  </si>
  <si>
    <t>C514</t>
  </si>
  <si>
    <t>C515</t>
  </si>
  <si>
    <t>C516</t>
  </si>
  <si>
    <t>C517</t>
  </si>
  <si>
    <t>C518</t>
  </si>
  <si>
    <t>C519</t>
  </si>
  <si>
    <t>Purchases - Buildings</t>
  </si>
  <si>
    <t>C520</t>
  </si>
  <si>
    <t>New School Equipment</t>
  </si>
  <si>
    <t>C521</t>
  </si>
  <si>
    <t>C522</t>
  </si>
  <si>
    <t>Pur FA - Napier</t>
  </si>
  <si>
    <t>C530</t>
  </si>
  <si>
    <t>Audio Visual</t>
  </si>
  <si>
    <t>C532</t>
  </si>
  <si>
    <t>Buildings</t>
  </si>
  <si>
    <t>C534</t>
  </si>
  <si>
    <t>Computer Equipment</t>
  </si>
  <si>
    <t>C536</t>
  </si>
  <si>
    <t>Furniture &amp; Fittings</t>
  </si>
  <si>
    <t>C538</t>
  </si>
  <si>
    <t>C540</t>
  </si>
  <si>
    <t>C542</t>
  </si>
  <si>
    <t>Musical Equipment</t>
  </si>
  <si>
    <t>C544</t>
  </si>
  <si>
    <t>Office Equipment</t>
  </si>
  <si>
    <t>C546</t>
  </si>
  <si>
    <t>Other Equipment</t>
  </si>
  <si>
    <t>C548</t>
  </si>
  <si>
    <t>Plant &amp; Machinery</t>
  </si>
  <si>
    <t>C550</t>
  </si>
  <si>
    <t>Special Ed. Equip. Grant Asset</t>
  </si>
  <si>
    <t>C552</t>
  </si>
  <si>
    <t>Sports Equipment</t>
  </si>
  <si>
    <t>C570</t>
  </si>
  <si>
    <t>C750</t>
  </si>
  <si>
    <t>D0</t>
  </si>
  <si>
    <t>Kickstart Bldg Refurbish Inc</t>
  </si>
  <si>
    <t>Kickstart Building Refurb Exp</t>
  </si>
  <si>
    <t>Taranaki VRC Property redevelopment</t>
  </si>
  <si>
    <t>Taranaki VRC Property Redevelop Exp</t>
  </si>
  <si>
    <t>$</t>
  </si>
  <si>
    <t>Actual</t>
  </si>
  <si>
    <t>Budget</t>
  </si>
  <si>
    <t>Interest</t>
  </si>
  <si>
    <t>Grounds</t>
  </si>
  <si>
    <t>Notes</t>
  </si>
  <si>
    <t>Administration</t>
  </si>
  <si>
    <t>Depreciation</t>
  </si>
  <si>
    <t>Prepayments</t>
  </si>
  <si>
    <t>Inventories</t>
  </si>
  <si>
    <t>Number of people</t>
  </si>
  <si>
    <t>Property</t>
  </si>
  <si>
    <t>Curricular</t>
  </si>
  <si>
    <t>Insurance</t>
  </si>
  <si>
    <t>Consumables</t>
  </si>
  <si>
    <t>(a) Capital Commitments</t>
  </si>
  <si>
    <t>$000</t>
  </si>
  <si>
    <t>-</t>
  </si>
  <si>
    <t xml:space="preserve">Communication </t>
  </si>
  <si>
    <t>Current Assets</t>
  </si>
  <si>
    <t>Current Liabilities</t>
  </si>
  <si>
    <t>Local funds raised within the School's community are made up of:</t>
  </si>
  <si>
    <t>Net Assets</t>
  </si>
  <si>
    <t>No later than one year</t>
  </si>
  <si>
    <t>Later than one year and no later than five years</t>
  </si>
  <si>
    <t>Later than five years</t>
  </si>
  <si>
    <t>Operational grants</t>
  </si>
  <si>
    <t>Information and communication technology</t>
  </si>
  <si>
    <t>Employee benefits - salaries</t>
  </si>
  <si>
    <t>Staff development</t>
  </si>
  <si>
    <t>Board of Trustees fees</t>
  </si>
  <si>
    <t>Board of Trustees expenses</t>
  </si>
  <si>
    <t>Caretaking and cleaning consumables</t>
  </si>
  <si>
    <t>Leased assets</t>
  </si>
  <si>
    <t>Teacher salaries grant</t>
  </si>
  <si>
    <t>Cash and cash equivalents</t>
  </si>
  <si>
    <t>(b) Operating Commitments</t>
  </si>
  <si>
    <t>Accounts payable</t>
  </si>
  <si>
    <t>Accounts receivable</t>
  </si>
  <si>
    <t xml:space="preserve">Principal </t>
  </si>
  <si>
    <t>Accounts Receivable</t>
  </si>
  <si>
    <t>Accounts Payable</t>
  </si>
  <si>
    <t>Code</t>
  </si>
  <si>
    <t>Audit Fees</t>
  </si>
  <si>
    <t>Previous year</t>
  </si>
  <si>
    <t>Year before previous</t>
  </si>
  <si>
    <t>Local Fundraising</t>
  </si>
  <si>
    <t>Cash and Cash Equivalents</t>
  </si>
  <si>
    <t>Property, Plant and Equipment</t>
  </si>
  <si>
    <t>Related Party Transactions</t>
  </si>
  <si>
    <t xml:space="preserve">Remuneration </t>
  </si>
  <si>
    <t>Compensation and other Benefits upon leaving</t>
  </si>
  <si>
    <t>Contingencies</t>
  </si>
  <si>
    <t>Commitments</t>
  </si>
  <si>
    <t>Kiwisport</t>
  </si>
  <si>
    <t>BALANCE SHEET</t>
  </si>
  <si>
    <t>Cash and Bank</t>
  </si>
  <si>
    <t>Blind and Low Vision Education Network NZ</t>
  </si>
  <si>
    <t>(a) Teacher laptops</t>
  </si>
  <si>
    <t>MOE Residential grant</t>
  </si>
  <si>
    <t>MOE Resource Teachers of Vision Impairment grant</t>
  </si>
  <si>
    <t>MOE Vision &amp; Sensory Resource Centre grant</t>
  </si>
  <si>
    <t>MOE Teachers salaries grant</t>
  </si>
  <si>
    <t>Special Education Grants/ORS</t>
  </si>
  <si>
    <t>MOE Document of Accountability Board Support</t>
  </si>
  <si>
    <t>MOE Document of Accountability Assessment/Training</t>
  </si>
  <si>
    <t xml:space="preserve">Use of land and buildings grant </t>
  </si>
  <si>
    <t>Kickstart</t>
  </si>
  <si>
    <t>Vision Resource Centres</t>
  </si>
  <si>
    <t>Property Rental</t>
  </si>
  <si>
    <t>Professional Development</t>
  </si>
  <si>
    <t>Client Travel</t>
  </si>
  <si>
    <t>Recruitment</t>
  </si>
  <si>
    <t>Orientation &amp; Mobility</t>
  </si>
  <si>
    <t>Residential</t>
  </si>
  <si>
    <t>Doherty Fund</t>
  </si>
  <si>
    <t>Visual Resource Centres</t>
  </si>
  <si>
    <t>09 266 7109</t>
  </si>
  <si>
    <t xml:space="preserve">Building improvements </t>
  </si>
  <si>
    <t>A</t>
  </si>
  <si>
    <t>Repairs &amp; Maintenance</t>
  </si>
  <si>
    <t>Regional Specialist Services</t>
  </si>
  <si>
    <t>ASB Savings Account #50</t>
  </si>
  <si>
    <t>ASB Term Investment #72</t>
  </si>
  <si>
    <t>ASB Term Investment #74</t>
  </si>
  <si>
    <t>ASB Term Investment #75</t>
  </si>
  <si>
    <t>ASB Term Investment #79</t>
  </si>
  <si>
    <t>ASB Term Investment 81</t>
  </si>
  <si>
    <t>ASB Term Investment #82</t>
  </si>
  <si>
    <t>ASB Term Investment #83</t>
  </si>
  <si>
    <t>ASB Term Investment #84</t>
  </si>
  <si>
    <t>ASB Term Investment #85</t>
  </si>
  <si>
    <t>ASB Term Investment #77</t>
  </si>
  <si>
    <t>ASB Term Investment #73</t>
  </si>
  <si>
    <t>ASB Term Investment #88</t>
  </si>
  <si>
    <t>ASB Term Investment #78</t>
  </si>
  <si>
    <t>ASB Term Investment 76 Music School</t>
  </si>
  <si>
    <t>ASB Term Investment #80</t>
  </si>
  <si>
    <t>Novopay repayments/debt</t>
  </si>
  <si>
    <t>Leave liability</t>
  </si>
  <si>
    <t>Otago VRC</t>
  </si>
  <si>
    <t>Palmerston North VRC</t>
  </si>
  <si>
    <t>Southland VRC</t>
  </si>
  <si>
    <t>HSF: AVRC</t>
  </si>
  <si>
    <t>HSF: Blundell Award</t>
  </si>
  <si>
    <t>HSF: Chapel</t>
  </si>
  <si>
    <t>HSF: Doherty Fund</t>
  </si>
  <si>
    <t>HSF: General</t>
  </si>
  <si>
    <t>HSF: Gurr Trust</t>
  </si>
  <si>
    <t>HSF: Kickstart</t>
  </si>
  <si>
    <t>HSF: Koru/Mccahon</t>
  </si>
  <si>
    <t>HSF: Music</t>
  </si>
  <si>
    <t>HSF: Research</t>
  </si>
  <si>
    <t>HSF: Resource Rooms</t>
  </si>
  <si>
    <t>HSF: SPort &amp; Recreation</t>
  </si>
  <si>
    <t>Pur FA - Nelson</t>
  </si>
  <si>
    <t>Pur FA - Administration</t>
  </si>
  <si>
    <t>Pur FA - Christchurch</t>
  </si>
  <si>
    <t>Pur FA - Core School</t>
  </si>
  <si>
    <t>Pur FA - Gisborne VRC</t>
  </si>
  <si>
    <t>Pur FA - Hamilton</t>
  </si>
  <si>
    <t>Pur FA - National Assessment</t>
  </si>
  <si>
    <t>Pur FA - Otago</t>
  </si>
  <si>
    <t>Pur FA - Palmerston North</t>
  </si>
  <si>
    <t>Pur FA - Playground</t>
  </si>
  <si>
    <t>Pur FA - Residential</t>
  </si>
  <si>
    <t>Pur FA - Southland</t>
  </si>
  <si>
    <t>Pur FA - Taranaki</t>
  </si>
  <si>
    <t>Pur FA - Tauranga</t>
  </si>
  <si>
    <t>Pur FA - Wellington</t>
  </si>
  <si>
    <t>Pur FA - A&amp;T Service</t>
  </si>
  <si>
    <t>Pur FA - DOM</t>
  </si>
  <si>
    <t>Pur FA - Immersion</t>
  </si>
  <si>
    <t>Pur FA - Donations</t>
  </si>
  <si>
    <t>Grants</t>
  </si>
  <si>
    <t>Operations Grant</t>
  </si>
  <si>
    <t>Moe Residential grant</t>
  </si>
  <si>
    <t>E</t>
  </si>
  <si>
    <t>F</t>
  </si>
  <si>
    <t>G</t>
  </si>
  <si>
    <t>H</t>
  </si>
  <si>
    <t>I</t>
  </si>
  <si>
    <t>J</t>
  </si>
  <si>
    <t>Other Moe Grants</t>
  </si>
  <si>
    <t>K</t>
  </si>
  <si>
    <t>L</t>
  </si>
  <si>
    <t>Total</t>
  </si>
  <si>
    <t>Total value</t>
  </si>
  <si>
    <t>Other Employees</t>
  </si>
  <si>
    <t xml:space="preserve">        Salary and other payments</t>
  </si>
  <si>
    <t xml:space="preserve">        Benefits and other emoluments</t>
  </si>
  <si>
    <t>Salaries and other short tem employee benefits:</t>
  </si>
  <si>
    <t>Assessment Stock</t>
  </si>
  <si>
    <t>S</t>
  </si>
  <si>
    <t>MOE Portion Laptop leases</t>
  </si>
  <si>
    <t>MOE PORTION Laptop lease</t>
  </si>
  <si>
    <t>100-110</t>
  </si>
  <si>
    <t xml:space="preserve">Furniture and equipment </t>
  </si>
  <si>
    <t>Investments</t>
  </si>
  <si>
    <t>Motor Vehicles</t>
  </si>
  <si>
    <t xml:space="preserve">     Trading</t>
  </si>
  <si>
    <t>Motor vehicles</t>
  </si>
  <si>
    <t xml:space="preserve">The disclosure for 'Other Employees' does not include remuneration of the Principal.  </t>
  </si>
  <si>
    <t>Investments (more than 12 months)</t>
  </si>
  <si>
    <t>The total value of compensation or other benefits paid or payable to persons who ceased to be trustees, committee members, or employees during the financial year in relation to that cessation and number of persons to whom all or part of that total was as follows:</t>
  </si>
  <si>
    <t>Building improvements - Crown only</t>
  </si>
  <si>
    <t>Equity</t>
  </si>
  <si>
    <t>The carrying value of payables approximates their fair value.</t>
  </si>
  <si>
    <t>Statement of Financial Position</t>
  </si>
  <si>
    <t xml:space="preserve">        Termination benefits</t>
  </si>
  <si>
    <t>Non-current Assets</t>
  </si>
  <si>
    <t>Non-current Liabilities</t>
  </si>
  <si>
    <t>Period</t>
  </si>
  <si>
    <t>Year</t>
  </si>
  <si>
    <t>School number</t>
  </si>
  <si>
    <t>School Address:</t>
  </si>
  <si>
    <t xml:space="preserve"> </t>
  </si>
  <si>
    <t>Notes to the Financial Statements</t>
  </si>
  <si>
    <t>Statement of Responsibility</t>
  </si>
  <si>
    <t>Name</t>
  </si>
  <si>
    <t>GST</t>
  </si>
  <si>
    <t>Income in advance</t>
  </si>
  <si>
    <t>Fixed assets</t>
  </si>
  <si>
    <t>HSF funds</t>
  </si>
  <si>
    <t>Software costs</t>
  </si>
  <si>
    <t>The estimated useful lives of the assets are:</t>
  </si>
  <si>
    <t xml:space="preserve">Depreciation </t>
  </si>
  <si>
    <t>Leased Assets</t>
  </si>
  <si>
    <t>Relieving Teacher Days Nat Ass</t>
  </si>
  <si>
    <t>Salaries Acc Nat Asses</t>
  </si>
  <si>
    <t>Rubbish Disposal</t>
  </si>
  <si>
    <t>Stores</t>
  </si>
  <si>
    <t>Recreational Outings</t>
  </si>
  <si>
    <t>Student Travel - Air</t>
  </si>
  <si>
    <t>Student Travel - Taxis</t>
  </si>
  <si>
    <t>Medical Fees</t>
  </si>
  <si>
    <t>Hostels R &amp; M</t>
  </si>
  <si>
    <t>Psychologist Contract</t>
  </si>
  <si>
    <t>Counselling Contract</t>
  </si>
  <si>
    <t>Staff Training</t>
  </si>
  <si>
    <t>Hostels Staff Trav Reimb</t>
  </si>
  <si>
    <t>Admin New Building Costs</t>
  </si>
  <si>
    <t>Transition Programmes</t>
  </si>
  <si>
    <t>Security</t>
  </si>
  <si>
    <t>Meals</t>
  </si>
  <si>
    <t>Contracted Staff - Curriculum</t>
  </si>
  <si>
    <t>Salaries - Teaching Staff</t>
  </si>
  <si>
    <t>Acc</t>
  </si>
  <si>
    <t>Staff Travel Reimbursement</t>
  </si>
  <si>
    <t>Immersion  Consumables</t>
  </si>
  <si>
    <t>Salaries - Admin Immersion</t>
  </si>
  <si>
    <t>Hireage Of Facilities</t>
  </si>
  <si>
    <t>New Building Cost Ris</t>
  </si>
  <si>
    <t>Emergency Course Funds</t>
  </si>
  <si>
    <t>Child &amp; Family (Early Childhoo</t>
  </si>
  <si>
    <t>Child&amp;Family (Additional Cours</t>
  </si>
  <si>
    <t>Child &amp; Fam (Blind Learners)</t>
  </si>
  <si>
    <t>Senior Musicianship</t>
  </si>
  <si>
    <t>Junior Or Inter Musicianship</t>
  </si>
  <si>
    <t>Intermediate Musicianship</t>
  </si>
  <si>
    <t>Contingency Course</t>
  </si>
  <si>
    <t>Performing Arts</t>
  </si>
  <si>
    <t>Braillenote Connections</t>
  </si>
  <si>
    <t>Technology L/Vision Napier</t>
  </si>
  <si>
    <t>Braillenote Basics</t>
  </si>
  <si>
    <t>Technology For Music Comp</t>
  </si>
  <si>
    <t>Technology</t>
  </si>
  <si>
    <t>Life Skills</t>
  </si>
  <si>
    <t>Maths/Life Skills</t>
  </si>
  <si>
    <t>Braille Learners 9-12 Yrs</t>
  </si>
  <si>
    <t>Braille Learners - Life Skills</t>
  </si>
  <si>
    <t>Literacy Jnr Br Or Duel Print</t>
  </si>
  <si>
    <t>Physical Education L/Vision</t>
  </si>
  <si>
    <t>Pre Course Planning</t>
  </si>
  <si>
    <t>Deanwell - Telecommunications</t>
  </si>
  <si>
    <t>Muffin Break</t>
  </si>
  <si>
    <t>Hamilton - Salaries</t>
  </si>
  <si>
    <t>Christchurch - Salaries</t>
  </si>
  <si>
    <t>Staff funded from 2009 Surplus</t>
  </si>
  <si>
    <t>Gisbone - Salaries</t>
  </si>
  <si>
    <t>Napier - Salaries</t>
  </si>
  <si>
    <t>Palmerston North - Salaries</t>
  </si>
  <si>
    <t>Tauranga - Salaries</t>
  </si>
  <si>
    <t>0.2 FTE teacher Time</t>
  </si>
  <si>
    <t>New Plymouth - Salaries</t>
  </si>
  <si>
    <t>Accounting Fees</t>
  </si>
  <si>
    <t>Computer/Software Expenses</t>
  </si>
  <si>
    <t>General</t>
  </si>
  <si>
    <t>R&amp;M - Office Equipment</t>
  </si>
  <si>
    <t>Stationery/Printing</t>
  </si>
  <si>
    <t>Bank Charges</t>
  </si>
  <si>
    <t>Expenses - Furn Grant New Scho</t>
  </si>
  <si>
    <t>New School Expenses</t>
  </si>
  <si>
    <t>Insurance - School</t>
  </si>
  <si>
    <t>Principals Expenses</t>
  </si>
  <si>
    <t>Ict Technical Support</t>
  </si>
  <si>
    <t>ICT Staffing</t>
  </si>
  <si>
    <t>On-Line Charges</t>
  </si>
  <si>
    <t>Sector Forums</t>
  </si>
  <si>
    <t>International Conferences</t>
  </si>
  <si>
    <t>Communication Strategy</t>
  </si>
  <si>
    <t>Senior Management Team Expense</t>
  </si>
  <si>
    <t>Vehicle Leases</t>
  </si>
  <si>
    <t>Registration</t>
  </si>
  <si>
    <t>Acc Levy - Admin</t>
  </si>
  <si>
    <t>Recruitment - Admin Staff</t>
  </si>
  <si>
    <t>Salaries - Admin</t>
  </si>
  <si>
    <t>Training Costs - Admin Staff</t>
  </si>
  <si>
    <t>Blennz Wide Staff Training</t>
  </si>
  <si>
    <t>Eap Counselling Services</t>
  </si>
  <si>
    <t>Insurance - Moe Scheme</t>
  </si>
  <si>
    <t>Carpets/Pest Control</t>
  </si>
  <si>
    <t>Renovation Rubbish Disposal</t>
  </si>
  <si>
    <t>** Government Grants</t>
  </si>
  <si>
    <t>TRL Lease MOE Portion Finance</t>
  </si>
  <si>
    <t>Lease interest</t>
  </si>
  <si>
    <t>MOE Study Award Expenses</t>
  </si>
  <si>
    <t>Guidance Counsellor contract</t>
  </si>
  <si>
    <t>Regional IT Facilitator Support</t>
  </si>
  <si>
    <t>Regional 3R Payments</t>
  </si>
  <si>
    <t>Network Project Secondment</t>
  </si>
  <si>
    <t>Regional Health &amp; Safety</t>
  </si>
  <si>
    <t>Interpreter Costs</t>
  </si>
  <si>
    <t>Software Expenses</t>
  </si>
  <si>
    <t>Resource Mgmt Project</t>
  </si>
  <si>
    <t>Novopay leave adjustment</t>
  </si>
  <si>
    <t>OLE Insurance</t>
  </si>
  <si>
    <t>Team Meetings</t>
  </si>
  <si>
    <t>Course Fees Year 2</t>
  </si>
  <si>
    <t>Course Fees Blindfold</t>
  </si>
  <si>
    <t>Relief Staffing</t>
  </si>
  <si>
    <t>Prepaid Interest</t>
  </si>
  <si>
    <t>Photocopier lease CSG</t>
  </si>
  <si>
    <t>Vistab Lease</t>
  </si>
  <si>
    <t>TRL Finance Lease Current</t>
  </si>
  <si>
    <t>Prepaid interest</t>
  </si>
  <si>
    <t>Photocopier Lease CSG</t>
  </si>
  <si>
    <t>Gain/(Loss) on Disposal</t>
  </si>
  <si>
    <t>Pur FA - AVRC North-West</t>
  </si>
  <si>
    <t>Pur FA - AVRC South-East</t>
  </si>
  <si>
    <t>C680</t>
  </si>
  <si>
    <t>C685</t>
  </si>
  <si>
    <t>TRL Lease asset</t>
  </si>
  <si>
    <t>Tauranga New Build</t>
  </si>
  <si>
    <t>Statement of Cash flows</t>
  </si>
  <si>
    <t>Other Notes and Disclosures</t>
  </si>
  <si>
    <t>Finance Costs</t>
  </si>
  <si>
    <t>Statement of Cash Flows</t>
  </si>
  <si>
    <t>The preparation of financial statements requires management to make judgements, estimates and assumptions that affect the application of accounting policies and the reported amounts of assets, liabilities, revenue and expenses. Actual results may differ from these estimates. 
Estimates and underlying assumptions are reviewed on an ongoing basis. Revisions to accounting estimates are recognised in the period in which the estimate is revised and in any future periods affected.</t>
  </si>
  <si>
    <t>Useful lives of property, plant and equipment</t>
  </si>
  <si>
    <t>Critical Judgements in applying accounting policies</t>
  </si>
  <si>
    <t>Classification of leases</t>
  </si>
  <si>
    <t>Recognition of grants</t>
  </si>
  <si>
    <t>Cash and cash equivalents include cash on hand, bank balances, deposits held at call with banks, and other short term highly liquid investments with original maturities of 90 days or less, and bank overdrafts.  The carrying amount of cash and cash equivalents represent fair value.</t>
  </si>
  <si>
    <t xml:space="preserve">Accounts Receivable represents items that the School has issued invoices for or accrued for, but has not received payment for at year end. Receivables are initially recorded at fair value and subsequently recorded at the amount the School realistically expects to receive. A receivable is considered uncollectable where there is objective evidence the School will not be able to collect all amounts due. The amount that is uncollectable (the provision for uncollectibility) is the difference between the amount due and the present value of the amounts expected to be collected. </t>
  </si>
  <si>
    <t>After initial recognition any investments categorised as available for sale are measured at their fair value without any deduction for transaction costs the school may incur on sale or other disposal.</t>
  </si>
  <si>
    <t>The School has entered into a number of finance lease agreements for computers.  Minimum lease payments payable:</t>
  </si>
  <si>
    <t>No Later than One Year</t>
  </si>
  <si>
    <t>Later than One Year and no Later than Five Years</t>
  </si>
  <si>
    <t>Finance Lease Liability</t>
  </si>
  <si>
    <t>Opening</t>
  </si>
  <si>
    <t>Receipts</t>
  </si>
  <si>
    <t>Closing</t>
  </si>
  <si>
    <t>Balances</t>
  </si>
  <si>
    <t>from MoE</t>
  </si>
  <si>
    <t>Payments</t>
  </si>
  <si>
    <t>Totals</t>
  </si>
  <si>
    <t>Represented by:</t>
  </si>
  <si>
    <t>Funds Held on Behalf of the Ministry of Education</t>
  </si>
  <si>
    <t>Funds Held for Capital Works Projects</t>
  </si>
  <si>
    <t>Board members</t>
  </si>
  <si>
    <t>Full-time Equivalent members</t>
  </si>
  <si>
    <t>Leadership team</t>
  </si>
  <si>
    <t>Full-time equivalent members</t>
  </si>
  <si>
    <t>Financial Instruments</t>
  </si>
  <si>
    <t>See code 10430</t>
  </si>
  <si>
    <t>See code 10902</t>
  </si>
  <si>
    <t>(b) Vehicles</t>
  </si>
  <si>
    <t>Receivables from the Ministry of Education</t>
  </si>
  <si>
    <t>Finance costs</t>
  </si>
  <si>
    <t>Add back Novopay adjustments</t>
  </si>
  <si>
    <t>Not wages</t>
  </si>
  <si>
    <t>Code 46800-813.04,4+46864 $7855,46880 $310,46885 $64112,46886 $3040</t>
  </si>
  <si>
    <t>Wages under ORRS (33500,33520,33550</t>
  </si>
  <si>
    <t>Non wages in code 38220 (residential wages)- includes the settlements</t>
  </si>
  <si>
    <t>2 McVilly Road, Manurewa</t>
  </si>
  <si>
    <t>Transfer to Homai</t>
  </si>
  <si>
    <t>Independent Auditor's Report</t>
  </si>
  <si>
    <t>PB4L Grant</t>
  </si>
  <si>
    <t>PB4L</t>
  </si>
  <si>
    <t>Consumables - Transition Programme</t>
  </si>
  <si>
    <t>VRC Property Costs</t>
  </si>
  <si>
    <t>Resources Project</t>
  </si>
  <si>
    <t>Network ICT Expenses</t>
  </si>
  <si>
    <t>R &amp; M Buildings - Tauranga</t>
  </si>
  <si>
    <t>ADL Professional Development</t>
  </si>
  <si>
    <t>Course Fees - Year 3</t>
  </si>
  <si>
    <t>Course Fees - ADL</t>
  </si>
  <si>
    <t>ASB Account 01</t>
  </si>
  <si>
    <t>Sundry Debtors</t>
  </si>
  <si>
    <t>Auckland North VRC</t>
  </si>
  <si>
    <t>110-120</t>
  </si>
  <si>
    <t>Other Compensation</t>
  </si>
  <si>
    <t>During the 2016 year sleep-over settlements were paid to affected staff at the conclusion of the employment court case. There are no further compensation payments expected.</t>
  </si>
  <si>
    <t>Month</t>
  </si>
  <si>
    <t>Actual_YTD</t>
  </si>
  <si>
    <t>LYTD</t>
  </si>
  <si>
    <t>LY_Actual</t>
  </si>
  <si>
    <t>XC999</t>
  </si>
  <si>
    <t>EOY</t>
  </si>
  <si>
    <t>Donations, Gifts and Bequests</t>
  </si>
  <si>
    <t xml:space="preserve"> 6 - 11</t>
  </si>
  <si>
    <t>Learning Resources - Day School</t>
  </si>
  <si>
    <t>Equipment Repairs</t>
  </si>
  <si>
    <t>Learning Resources - ORRS</t>
  </si>
  <si>
    <t>Learning Resources - Residential</t>
  </si>
  <si>
    <t>Learning Resources - National Services</t>
  </si>
  <si>
    <t>UNALLOCATED</t>
  </si>
  <si>
    <t>Other</t>
  </si>
  <si>
    <t>Service Providers, Contractors and Consultancy</t>
  </si>
  <si>
    <t>NOT IN BRIDGETS CODING S/SHEET BUT HAS HAD A NIL VALUE. CHECK FOR 2018</t>
  </si>
  <si>
    <t>CHECK IF THERE ARE ANY BALANCES AND ALLOCATE IF THERE ARE</t>
  </si>
  <si>
    <t>checked</t>
  </si>
  <si>
    <t>Learning Resources - ORS</t>
  </si>
  <si>
    <t>Caretaking and Cleaning Consumables</t>
  </si>
  <si>
    <t>Consultancy and Contract Services</t>
  </si>
  <si>
    <t>Cyclical Maintenance Expense</t>
  </si>
  <si>
    <t>Employee Benefits - Salaries</t>
  </si>
  <si>
    <t>Learning Resources - Vision Resource Centres</t>
  </si>
  <si>
    <t>4-8</t>
  </si>
  <si>
    <t>Telephone/tolls/fax</t>
  </si>
  <si>
    <t>Printing/stationery</t>
  </si>
  <si>
    <t>VRC Co-ordinators Meetings</t>
  </si>
  <si>
    <t>Ham-Tauranga Regional Meetings</t>
  </si>
  <si>
    <t>VRC Offsite Parking costs</t>
  </si>
  <si>
    <t>VRC Toll Road Charges</t>
  </si>
  <si>
    <t>Projects funded by Banked Staffing Cash</t>
  </si>
  <si>
    <t>Pedagogy 7</t>
  </si>
  <si>
    <t>Term 1</t>
  </si>
  <si>
    <t>Term 2</t>
  </si>
  <si>
    <t>Term 3</t>
  </si>
  <si>
    <t>Term 4</t>
  </si>
  <si>
    <t>Road Tolls</t>
  </si>
  <si>
    <t>Staff Recruitment-Tauranga</t>
  </si>
  <si>
    <t>National Software Expenses</t>
  </si>
  <si>
    <t>ICT Project costs</t>
  </si>
  <si>
    <t>Health &amp; Safety</t>
  </si>
  <si>
    <t>H&amp;S Wellbeing Committee</t>
  </si>
  <si>
    <t>Accessability Consultation</t>
  </si>
  <si>
    <t>Pedagogy 1</t>
  </si>
  <si>
    <t>Pedagogy 2</t>
  </si>
  <si>
    <t>Pedagogy 3</t>
  </si>
  <si>
    <t>Pedagogy 4</t>
  </si>
  <si>
    <t>Pedagogy 5</t>
  </si>
  <si>
    <t>Pedagogy 6</t>
  </si>
  <si>
    <t>Pedagogy 8</t>
  </si>
  <si>
    <t>Pedagogy 9</t>
  </si>
  <si>
    <t>Pedagogy 10</t>
  </si>
  <si>
    <t>Rubbish/Sanitary Disposal</t>
  </si>
  <si>
    <t>Staffing: Peer Mentoring</t>
  </si>
  <si>
    <t>Taranaki VRC Bequest</t>
  </si>
  <si>
    <t>X35170</t>
  </si>
  <si>
    <t>XD01</t>
  </si>
  <si>
    <t>XD01E</t>
  </si>
  <si>
    <t>Leases</t>
  </si>
  <si>
    <t>PrePaid Interest</t>
  </si>
  <si>
    <t>Leases Non Current</t>
  </si>
  <si>
    <t>Long-term employee entitlements</t>
  </si>
  <si>
    <t>12 - 20</t>
  </si>
  <si>
    <t>South Auckland Vision Trust</t>
  </si>
  <si>
    <t>Transition Courses</t>
  </si>
  <si>
    <t>MOE Portion of Operating Leases</t>
  </si>
  <si>
    <t>Outside Facilitation</t>
  </si>
  <si>
    <t>Resource Making</t>
  </si>
  <si>
    <t>BLENNZ Staff PD</t>
  </si>
  <si>
    <t>Koha</t>
  </si>
  <si>
    <t>Maori Language Week</t>
  </si>
  <si>
    <t>BELS Child &amp; Family Immersion Courses</t>
  </si>
  <si>
    <t>BELS Programme Planning &amp; Sharing</t>
  </si>
  <si>
    <t>Cell Phones</t>
  </si>
  <si>
    <t>Consumables - National</t>
  </si>
  <si>
    <t>Bank Fees</t>
  </si>
  <si>
    <t>Software</t>
  </si>
  <si>
    <t>Caretaking/Cleaning</t>
  </si>
  <si>
    <t>Regional Based Full Assessment</t>
  </si>
  <si>
    <t>ADL Contract</t>
  </si>
  <si>
    <t>Distance Braille - Exam Fees</t>
  </si>
  <si>
    <t>VRC Resources</t>
  </si>
  <si>
    <t>* Current Liabilities</t>
  </si>
  <si>
    <t>C202</t>
  </si>
  <si>
    <t>Non-Cash Disposals</t>
  </si>
  <si>
    <t>C525</t>
  </si>
  <si>
    <t>BELS</t>
  </si>
  <si>
    <t>Balance at 31 December 2019</t>
  </si>
  <si>
    <t>Current accounts</t>
  </si>
  <si>
    <t>call accounts</t>
  </si>
  <si>
    <t>MOE Donation Scheme</t>
  </si>
  <si>
    <t>Donated Assets</t>
  </si>
  <si>
    <t>* MOE Funded Projects</t>
  </si>
  <si>
    <t>Standard early adopted</t>
  </si>
  <si>
    <t>Prior Year Policy</t>
  </si>
  <si>
    <t>Term deposits: This policy has been updated to explain that a loss allowance for expected credit losses is recognised only if the estimated loss allowance is not trivial.</t>
  </si>
  <si>
    <t>Upon transition to PBE IFRS9 there were no material adjustments to these financial statements.</t>
  </si>
  <si>
    <t>Adoption of PBE IFRS 9 Financial Instruments</t>
  </si>
  <si>
    <t xml:space="preserve">In accordance with the transitional provisions of PBE IFRS 9, the school has elected not to restate the information for previous years to comply with PBE IFRS 9. Adjustments arising from the adoption of PBE IFRS 9 are recognised in opening equity at 1 January 2019. Accounting policies have been updated to comply with PBE IFRS 9. The main updates are:
• Note 13 Receivables: This policy has been updated to reflect that the impairment of short-term receivables is now  determined by applying an expected credit loss model.
• Note 15 Investments: </t>
  </si>
  <si>
    <t>School Directory</t>
  </si>
  <si>
    <t>Principal:</t>
  </si>
  <si>
    <t>School Postal Address:</t>
  </si>
  <si>
    <t>School Phone:</t>
  </si>
  <si>
    <t>School Email:</t>
  </si>
  <si>
    <t>Private Bag 801, 
Manurewa, Auckland, 2243</t>
  </si>
  <si>
    <t>Position</t>
  </si>
  <si>
    <t>How Position Gained</t>
  </si>
  <si>
    <t>Karen Stobbs</t>
  </si>
  <si>
    <t>David Cullen</t>
  </si>
  <si>
    <t>Christopher Gunn</t>
  </si>
  <si>
    <t>John Mulka</t>
  </si>
  <si>
    <t>Principal</t>
  </si>
  <si>
    <t>Staff Rep</t>
  </si>
  <si>
    <t>Appointed</t>
  </si>
  <si>
    <t>Elected</t>
  </si>
  <si>
    <t>Equity at 31 December</t>
  </si>
  <si>
    <t>At the date of issuing the financial statements, the school has been able to absorb the majority of the impact from the nationwide lockdown as it was decided to start the annual Easter School holidays early. In the periods the school is open for tuition, the school has switched to alternative methods of delivering the curriculum, so students can learn remotely.</t>
  </si>
  <si>
    <t>At this time the full financial impact of the COVID-19 pandemic is not able to be determined, but it is not expected to be significant to the school. The school will continue to receive funding from the Ministry of Education, even while closed.</t>
  </si>
  <si>
    <t>On March 11, 2020, the World Health Organisation declared the outbreak of COVID-19 (a novel Coronavirus) a pandemic. Two weeks later, on 26 March, New Zealand increased its’ COVID-19 alert level to level 4 and a nationwide lockdown commenced. As part of this lockdown all schools were closed. Subsequently all schools and kura reopened on the 18th of May 2020.</t>
  </si>
  <si>
    <t xml:space="preserve">On 23 August 2019 the Trustees resolved to wind up Homai Early Childhood Centre Education Trust with effect from 1 January 2020 and that the net assets ($424,916) would be transferred to BLENNZ in line with the requirements of the Trust Deed.
Homai Early Childhood Centre Education Trust will no longer operate as an Early Childhood Centre. 
The Facilities will be used as a base for professional learning, parent education and staff development. All staff have been transferred from Homai to BLENNZ, effective 1 January 2020.
</t>
  </si>
  <si>
    <t>Ross Meikle</t>
  </si>
  <si>
    <t>There were no significant events after the balance date that impact these financial statements.</t>
  </si>
  <si>
    <t>Budget_YTD</t>
  </si>
  <si>
    <t>month_debits</t>
  </si>
  <si>
    <t>YTD_Debits</t>
  </si>
  <si>
    <t>LYTD_Debits</t>
  </si>
  <si>
    <t>LY_Debits</t>
  </si>
  <si>
    <t>Month_Budget</t>
  </si>
  <si>
    <t>Salary Support Grant</t>
  </si>
  <si>
    <t>Other Operational Grants</t>
  </si>
  <si>
    <t>* Other Revenue</t>
  </si>
  <si>
    <t>Insurance Proceeds</t>
  </si>
  <si>
    <t>ACC Staff Claims</t>
  </si>
  <si>
    <t>Pukekohe VRC - Income</t>
  </si>
  <si>
    <t>Pukekohe VRC - Expenses</t>
  </si>
  <si>
    <t>COVID Funded Teacher Aides</t>
  </si>
  <si>
    <t>Staff on ACC</t>
  </si>
  <si>
    <t>English</t>
  </si>
  <si>
    <t>The Arts</t>
  </si>
  <si>
    <t>Health and Physical Education</t>
  </si>
  <si>
    <t>Learning Languages</t>
  </si>
  <si>
    <t>Mathematics and Statistics</t>
  </si>
  <si>
    <t>Science</t>
  </si>
  <si>
    <t>Social Sciences</t>
  </si>
  <si>
    <t>Classroom Consumables</t>
  </si>
  <si>
    <t>Transition Programme</t>
  </si>
  <si>
    <t>JCHS Use of Facilities</t>
  </si>
  <si>
    <t>JCHS Consumables</t>
  </si>
  <si>
    <t>JCHS Curriculum Resources</t>
  </si>
  <si>
    <t>JCHS Telephone/Tolls/Faxes</t>
  </si>
  <si>
    <t>Tamaoho (Pukekohe) Use of Facilities</t>
  </si>
  <si>
    <t>Orientation &amp; Mobility - School</t>
  </si>
  <si>
    <t>Orientation &amp; Mobility - Kickstart</t>
  </si>
  <si>
    <t>Teacher Aide Support</t>
  </si>
  <si>
    <t>Therapy Support</t>
  </si>
  <si>
    <t>Vehicle Lease EOTC</t>
  </si>
  <si>
    <t>Network &amp; VRC Phones &amp; Tolls</t>
  </si>
  <si>
    <t>Salaries - Relieving Teachers</t>
  </si>
  <si>
    <t>Adaptive Daily Living Expenses</t>
  </si>
  <si>
    <t>Residential Whanau Hui</t>
  </si>
  <si>
    <t>MoE Income in Advance</t>
  </si>
  <si>
    <t>HSF: HECCET Transfer</t>
  </si>
  <si>
    <t>Pur F/A - Northland</t>
  </si>
  <si>
    <t>C526</t>
  </si>
  <si>
    <t>Pur FA - Pukekohe</t>
  </si>
  <si>
    <t>Capital Contribution</t>
  </si>
  <si>
    <t>Other Revenue</t>
  </si>
  <si>
    <t>Notes:</t>
  </si>
  <si>
    <t>30/03/2021 Craig</t>
  </si>
  <si>
    <t>Update LY opening equity Cell E10 in Equity sheet</t>
  </si>
  <si>
    <t>manually put in depn and fixed asset notes</t>
  </si>
  <si>
    <t>Look at investment v cash split for notes 12 and 15</t>
  </si>
  <si>
    <t>manually put in LY opening cyclical mtce note cell H294</t>
  </si>
  <si>
    <t>Related parties note</t>
  </si>
  <si>
    <t>remuneration note</t>
  </si>
  <si>
    <t>Adjusted Notes sheet cell F7 to make TY balance (-$2)</t>
  </si>
  <si>
    <t>plus: Opening Sundry Debtors (GL's 9116 &amp; 9120 &amp; 9122)</t>
  </si>
  <si>
    <t>less: Closing Sundry Debtors (GL's 9116 &amp; 9120 &amp; 9122)</t>
  </si>
  <si>
    <t>less: Prior Year Staff Banking Overuse (GL 9317)</t>
  </si>
  <si>
    <t>plus: This Year Staff Banking Overuse (GL 9317)</t>
  </si>
  <si>
    <t>less: Opening Income in Advance (GL 9328)</t>
  </si>
  <si>
    <t>plus: Closing Income in Advance (GL 9328)</t>
  </si>
  <si>
    <t>less: MOE Covid Devices (GL C691)</t>
  </si>
  <si>
    <t>less: MOE Accounts Payable (GL 9320)</t>
  </si>
  <si>
    <t>less: Healthy School Lunch Programme (GL 7310)</t>
  </si>
  <si>
    <t>less: Teachers Salaries grants</t>
  </si>
  <si>
    <t>less: Risk Management Premium</t>
  </si>
  <si>
    <t>less: MOE Share of Leases</t>
  </si>
  <si>
    <t>less: International Student Levy</t>
  </si>
  <si>
    <t>less: LSM/Commissioner</t>
  </si>
  <si>
    <t>(b) Locally Raised Funds (Per Income Statement)</t>
  </si>
  <si>
    <t>plus: Other Revenue from Income Statement (GL's 0475 to 0479)</t>
  </si>
  <si>
    <t>less: Opening Income in Advance (GL's 9321 to 9326 and 9600 to 9899)</t>
  </si>
  <si>
    <t>plus: Closing Income in Advance (GL's 9321 to 9326 and 9600 to 9899)</t>
  </si>
  <si>
    <t>plus: Opening Sundry Debtors (GL's 9113 to 9115)</t>
  </si>
  <si>
    <t>less: Closing Sundry Debtors (GL's 9113 to 9115)</t>
  </si>
  <si>
    <t>(c) Hostel (Per Income Statement)</t>
  </si>
  <si>
    <t>(d) International Students (Per Income Statement)</t>
  </si>
  <si>
    <t>(e) Goods and Services Tax (Net)</t>
  </si>
  <si>
    <t>(f) Funds Administered on Behalf of Third Parties (GL's 7350 to 7999)</t>
  </si>
  <si>
    <t>(g) Payments to Employees (Per Income Statement)</t>
  </si>
  <si>
    <t>(h) Payments to Suppliers</t>
  </si>
  <si>
    <t>(i) Cyclical Maintenance Payments in the year</t>
  </si>
  <si>
    <t>(j) Interest Paid</t>
  </si>
  <si>
    <t>plus: Opening Sundry Creditor (GL xxxx)</t>
  </si>
  <si>
    <t>less: Closing Sundry Creditor (GL xxxx)</t>
  </si>
  <si>
    <t>(k) Interest Received (Per Income Statement)</t>
  </si>
  <si>
    <t>plus: Opening Sundry Debtors (GL 9112)</t>
  </si>
  <si>
    <t>less: Closing Sundry Debtors (GL 9112)</t>
  </si>
  <si>
    <t>Net cash from/(to) Operating Activities</t>
  </si>
  <si>
    <t>Cash at the end of the year</t>
  </si>
  <si>
    <t>Cash at the start of the year</t>
  </si>
  <si>
    <t>Net increase/(decrease) in cash</t>
  </si>
  <si>
    <t>Net cash from/(to) Financing Activities</t>
  </si>
  <si>
    <t>plus: Closing Sundry Creditors</t>
  </si>
  <si>
    <t>less: Opening Sundry Creditors</t>
  </si>
  <si>
    <t>less: Closing Sundry Debtors (GL 9121)</t>
  </si>
  <si>
    <t>plus: Opening Sundry Debtors</t>
  </si>
  <si>
    <t>less: Closing Sundry Creditor</t>
  </si>
  <si>
    <t>plus: Opening Sundry Creditor</t>
  </si>
  <si>
    <t>(t) Loans received/(repaid) (GL's 9348, 9349, 9448, &amp; 9449)</t>
  </si>
  <si>
    <t>(s) Painting Contract Payments (GL's 9346, 9347, 9446, &amp; 9447)</t>
  </si>
  <si>
    <t>(r) Finance Lease Payments (GL's 9331 to 9345 and 9431 to 9445)</t>
  </si>
  <si>
    <t>less: Closing Sundry Debtor</t>
  </si>
  <si>
    <t>plus: Opening Sundry Debtor</t>
  </si>
  <si>
    <t>(q) Owners Contributions (GL's 9502 to 9506)</t>
  </si>
  <si>
    <t>(p) Furniture and Equipment Grant (GL 9501)</t>
  </si>
  <si>
    <t>Net cash from/(to) Investing Activities</t>
  </si>
  <si>
    <t>(o) Sale of Investments (GL's 9000 to 9028 &amp; 9050 to 9080 &amp; 9351 to 9362)</t>
  </si>
  <si>
    <t>(n) Purchase of Investments (GL's 9000 to 9028 &amp; 9050 to 9080 &amp; 9351 to 9362)</t>
  </si>
  <si>
    <t>less: Non cash purchases (GL's C678 and C680 to C699)</t>
  </si>
  <si>
    <t>plus: Closing work in progress (GL 9391)</t>
  </si>
  <si>
    <t>less: Opening work in progress (GL 9391)</t>
  </si>
  <si>
    <t>(m) Purchase of PPE and Intangibles (Per PPE Note)</t>
  </si>
  <si>
    <t>(l) Proceeds from Sale of PPE and Intangibles (GL C200)</t>
  </si>
  <si>
    <t>less: Closing Sundry Creditors</t>
  </si>
  <si>
    <t>plus: Opening Sundry Creditors</t>
  </si>
  <si>
    <t>less: Closing Sundry Debtors</t>
  </si>
  <si>
    <t>plus: Closing Income in Advance (GL's xxxx to xxxx and GL 9327)</t>
  </si>
  <si>
    <t>less: Opening Income in Advance (GL's xxxx to xxxx and GL 9327)</t>
  </si>
  <si>
    <t>less: Closing Sundry Debtors (GL's xxxx to xxxx)</t>
  </si>
  <si>
    <t>plus: Opening Sundry Debtors (GL's xxxx to xxxx  )</t>
  </si>
  <si>
    <t>plus: Opening Sundry Debtors (GL's xxxx to xxxx)</t>
  </si>
  <si>
    <t>less: Hostel (GL's xxxx to xxxx)</t>
  </si>
  <si>
    <t>(a) Government Grants (Per Income Statement)</t>
  </si>
  <si>
    <t>Cashflow Statement Workings</t>
  </si>
  <si>
    <t>less: Use of Land and Buildings grants</t>
  </si>
  <si>
    <t>Banking Staffing Overuse</t>
  </si>
  <si>
    <t>less: Non-cash Donations</t>
  </si>
  <si>
    <t>Work in Progress</t>
  </si>
  <si>
    <t>From finance lease summary workpaper cell AJ7</t>
  </si>
  <si>
    <t>Cyclical Maintenance Payments</t>
  </si>
  <si>
    <t>1.   Statement of Accounting Policies</t>
  </si>
  <si>
    <t>Reporting Period</t>
  </si>
  <si>
    <t>Basis of Preparation</t>
  </si>
  <si>
    <t>The financial statements have been prepared on a going concern basis, and the accounting policies have been consistently applied throughout the period.</t>
  </si>
  <si>
    <t>Financial Reporting Standards Applied</t>
  </si>
  <si>
    <t>Presentation Currency</t>
  </si>
  <si>
    <t>Specific Accounting Policies</t>
  </si>
  <si>
    <r>
      <t>The accounting policies used in the preparation of these financial statements are set out below.</t>
    </r>
    <r>
      <rPr>
        <strike/>
        <sz val="10"/>
        <rFont val="Arial"/>
        <family val="2"/>
      </rPr>
      <t/>
    </r>
  </si>
  <si>
    <t>Critical Accounting Estimates And Assumptions</t>
  </si>
  <si>
    <t>Management has exercised the following critical judgements in applying accounting policies:</t>
  </si>
  <si>
    <t>c) Revenue Recognition</t>
  </si>
  <si>
    <t xml:space="preserve">Other grants are recorded as revenue when the School has the rights to the funding, unless there are unfulfilled conditions attached to the grant, in which case the amount relating to the unfulfilled conditions is recognised as a liability and released to revenue as the conditions are fulfilled. </t>
  </si>
  <si>
    <t>Grants for the use of land and buildings are also not received in cash by the School as they equate to the deemed expense for using the land and buildings which are owned by the Proprietor. Use of land and building grants are recorded as income in the period the school uses the land and building.</t>
  </si>
  <si>
    <t>Interest Revenue</t>
  </si>
  <si>
    <t>Interest Revenue earned on cash and cash equivalents and investments is recorded as revenue in the period it is earned.</t>
  </si>
  <si>
    <t>Finance lease payments are apportioned between the finance charge and the reduction of the outstanding liability. The finance charge is allocated to each period during the lease term on an effective interest basis.</t>
  </si>
  <si>
    <t xml:space="preserve">Bank term deposits for periods exceeding 90 days are classified as investments and are initially measured at the amount invested. Interest is subsequently accrued and added to the investment balance. After initial recognition bank term deposits are measured at amortised cost using the effective interest method less impairment.
</t>
  </si>
  <si>
    <t>Investments that are shares are categorised as “available for sale” for accounting purposes in accordance with financial reporting standards. Share investments are recognised initially by the School at fair value plus transaction costs. At balance date the School has assessed whether there is any evidence that an investment is impaired. Any impairment, gains or losses are recognised in the Statement of Comprehensive Revenue and Expense.</t>
  </si>
  <si>
    <t xml:space="preserve">Land and buildings owned by the Proprietor are excluded from these financial statements.  The Board’s use of the land and buildings as ‘occupant’ is based on a property occupancy document.  </t>
  </si>
  <si>
    <t>Finance Leases</t>
  </si>
  <si>
    <r>
      <t xml:space="preserve">Property, plant and equipment except for library resources are depreciated over their estimated useful lives on a straight line basis.  Library resources are depreciated on a diminishing value basis. Depreciation of all assets is reported in the </t>
    </r>
    <r>
      <rPr>
        <sz val="10"/>
        <color indexed="8"/>
        <rFont val="Arial"/>
        <family val="2"/>
      </rPr>
      <t>Statement of Comprehensive Revenue and Expense</t>
    </r>
    <r>
      <rPr>
        <sz val="10"/>
        <rFont val="Arial"/>
        <family val="2"/>
      </rPr>
      <t>.</t>
    </r>
  </si>
  <si>
    <r>
      <t xml:space="preserve">Property, plant and equipment are depreciated over their estimated useful lives on a straight line basis.  Depreciation of all assets is reported in the </t>
    </r>
    <r>
      <rPr>
        <sz val="10"/>
        <color indexed="8"/>
        <rFont val="Arial"/>
        <family val="2"/>
      </rPr>
      <t>Statement of Comprehensive Revenue and Expense</t>
    </r>
    <r>
      <rPr>
        <sz val="10"/>
        <rFont val="Arial"/>
        <family val="2"/>
      </rPr>
      <t>.</t>
    </r>
  </si>
  <si>
    <t>Furniture and Equipment</t>
  </si>
  <si>
    <t>Library Resources</t>
  </si>
  <si>
    <t xml:space="preserve">Leased assets held under a Finance Lease </t>
  </si>
  <si>
    <t>Term of Lease</t>
  </si>
  <si>
    <r>
      <t xml:space="preserve">Computer software licences with individual values under $1,000 are not capitalised, they are recognised as an expense in the </t>
    </r>
    <r>
      <rPr>
        <sz val="10"/>
        <color indexed="8"/>
        <rFont val="Arial"/>
        <family val="2"/>
      </rPr>
      <t>Statement of Comprehensive Revenue and Expense</t>
    </r>
    <r>
      <rPr>
        <sz val="10"/>
        <rFont val="Arial"/>
        <family val="2"/>
      </rPr>
      <t xml:space="preserve"> when incurred.</t>
    </r>
  </si>
  <si>
    <t xml:space="preserve">The carrying value of software is amortised on a straight line basis over its useful life.  The useful life of software is estimated as three years.  The amortisation charge for each period and any impairment loss is recorded in the Statement of Comprehensive Revenue and Expense. </t>
  </si>
  <si>
    <t>Accounts Payable represents liabilities for goods and services provided to the School prior to the end of the financial year which are unpaid.  Accounts Payable are recorded at the amount of cash required to settle those liabilities. The amounts are unsecured and are usually paid within 30 days of recognition.</t>
  </si>
  <si>
    <t>The property from which the School operates is owned by the Crown, and is vested in the Ministry.  The Ministry has gazetted a property occupancy document that sets out the Board’s property maintenance responsibilities. The Board is responsible for maintaining the land, buildings and other facilities on the School site in a state of good order and repair.</t>
  </si>
  <si>
    <t>The financial statements have been prepared on a GST exclusive basis, with the exception of accounts receivable and accounts payable which are stated as GST inclusive.
The net amount of GST paid to, or received from, the IRD, including the GST relating to investing and financing activities, is classified as a net operating cash flow in the statements of cash flows. 
Commitments and contingencies are disclosed exclusive of GST.</t>
  </si>
  <si>
    <t xml:space="preserve">From time to time the School receives services in-kind, including the time of volunteers. The School has elected not to recognise services received in kind in the Statement of Comprehensive Revenue and Expense. </t>
  </si>
  <si>
    <t>The School have a contract with Homai Early Childhood Education Centre to provide services.  
The value of this contract is $0 (2019: $18,830 excl GST)</t>
  </si>
  <si>
    <t>The School receive the grant for Homai Early Childhood Education Centre, and pay it out to the Centre when received.  The school paid out $0 during 2020. (2019: $175,915)</t>
  </si>
  <si>
    <t>120-130</t>
  </si>
  <si>
    <t>Financial assets measured at amortised cost</t>
  </si>
  <si>
    <t>Auckland North - Courier</t>
  </si>
  <si>
    <t>Auckland North - Postage</t>
  </si>
  <si>
    <t>Auckland North - Telephone/Rental/Tolls</t>
  </si>
  <si>
    <t>Auckland North - Vehicle Insurance</t>
  </si>
  <si>
    <t>Auckland North - Equipment Maintenance</t>
  </si>
  <si>
    <t>Auckland North - Photocopying</t>
  </si>
  <si>
    <t>Auckland North - Printing/Stationery</t>
  </si>
  <si>
    <t>Auckland North - Consumables</t>
  </si>
  <si>
    <t>Auckland North - Publications</t>
  </si>
  <si>
    <t>Auckland North - Subs/Membership Fees</t>
  </si>
  <si>
    <t>Auckland North - DOM Expenses</t>
  </si>
  <si>
    <t>Auckland North - Resource Production</t>
  </si>
  <si>
    <t>Nelson - Postage</t>
  </si>
  <si>
    <t>Nelson - Equipment Maintenance</t>
  </si>
  <si>
    <t>Nelson - Photocopying</t>
  </si>
  <si>
    <t>Nelson - Printing &amp; Stationery</t>
  </si>
  <si>
    <t>Nelson - Consumables</t>
  </si>
  <si>
    <t>Nelson - Publications</t>
  </si>
  <si>
    <t>Nelson - Subs/ Membership Fees</t>
  </si>
  <si>
    <t>Nelson - Educational Resources</t>
  </si>
  <si>
    <t>Nelson - DOM Expenses</t>
  </si>
  <si>
    <t>Southland - Postage</t>
  </si>
  <si>
    <t>Southland - Property Rental - External</t>
  </si>
  <si>
    <t>Southland - Equipment Maintenance</t>
  </si>
  <si>
    <t>Southland - Printing/Stationery</t>
  </si>
  <si>
    <t>Southland - Consumables</t>
  </si>
  <si>
    <t>Southland - Publications</t>
  </si>
  <si>
    <t>Southland - Photocopying</t>
  </si>
  <si>
    <t>Southland - Subs/Membership Fees</t>
  </si>
  <si>
    <t>Southland - Educational Resources</t>
  </si>
  <si>
    <t>Southland - DOM Expenses</t>
  </si>
  <si>
    <t>* BELS Learning Resources</t>
  </si>
  <si>
    <t>BELS - Equipment Maintenance</t>
  </si>
  <si>
    <t>BELS - Publications</t>
  </si>
  <si>
    <t>BELS - Whanau events/excursions</t>
  </si>
  <si>
    <t>BELS - Learning Resources</t>
  </si>
  <si>
    <t>BELS - Salaries - Teaching Staff</t>
  </si>
  <si>
    <t>BELS - Salaries - ESWs</t>
  </si>
  <si>
    <t>BELS - Salaries - Immersion RTV Release Days</t>
  </si>
  <si>
    <t>BELS - Staff Travel &amp; Accommodation</t>
  </si>
  <si>
    <t>BELS - ACC</t>
  </si>
  <si>
    <t>BELS - Recruitment</t>
  </si>
  <si>
    <t>BELS - Subs/Membership</t>
  </si>
  <si>
    <t>BELS - Staff Training</t>
  </si>
  <si>
    <t>BELS - Music Therapy</t>
  </si>
  <si>
    <t>BELS - Physiotherapy</t>
  </si>
  <si>
    <t>BELS - Occupational Therapy</t>
  </si>
  <si>
    <t>* Personnel</t>
  </si>
  <si>
    <t>Hamilton - Postage</t>
  </si>
  <si>
    <t>Hamilton - Equipment Maintenance</t>
  </si>
  <si>
    <t>Hamilton - Photocopying</t>
  </si>
  <si>
    <t>Hamilton - Printing/Stationery</t>
  </si>
  <si>
    <t>Hamilton - Consumables</t>
  </si>
  <si>
    <t>Hamilton - Publications</t>
  </si>
  <si>
    <t>Hamilton - Subs/Membership Fees</t>
  </si>
  <si>
    <t>Hamilton - Educational Resources</t>
  </si>
  <si>
    <t>Hamilton - Resource Production Materials</t>
  </si>
  <si>
    <t>Hamilton DOM Expenses</t>
  </si>
  <si>
    <t>Christchurch - Postage</t>
  </si>
  <si>
    <t>Christchurch - Property</t>
  </si>
  <si>
    <t>Christchurch - Equipment Maintenance</t>
  </si>
  <si>
    <t>Christchurch - Photocopying</t>
  </si>
  <si>
    <t>Christchurch - Printing/Stationery</t>
  </si>
  <si>
    <t>Christchurch - Consumables</t>
  </si>
  <si>
    <t>Christchurch - Publications</t>
  </si>
  <si>
    <t>Christchurch - Subs/Membership Fees</t>
  </si>
  <si>
    <t>Christchurch - Timaru operations</t>
  </si>
  <si>
    <t>Christchurch - West Coast Operations</t>
  </si>
  <si>
    <t>Christchurch - DOM Expenses</t>
  </si>
  <si>
    <t>Gisborne - Postage</t>
  </si>
  <si>
    <t>Gisborne - Equipment Maintenance</t>
  </si>
  <si>
    <t>Gisborne - Photocopying</t>
  </si>
  <si>
    <t>Gisborne - Printing/Stationery</t>
  </si>
  <si>
    <t>Gisborne - Consumables</t>
  </si>
  <si>
    <t>Gisborne - Publications</t>
  </si>
  <si>
    <t>Gisborne - Subs/Membership Fees</t>
  </si>
  <si>
    <t>Gisborne - Educational Resources</t>
  </si>
  <si>
    <t>Gisborne - Sovereign Trust</t>
  </si>
  <si>
    <t>Gisborne - DOM Expenses</t>
  </si>
  <si>
    <t>Wellington - Postage</t>
  </si>
  <si>
    <t>Wellington - Equipment Maintenance</t>
  </si>
  <si>
    <t>Wellington - Photocopying</t>
  </si>
  <si>
    <t>Wellington - Printing/Stationery</t>
  </si>
  <si>
    <t>Wellington - Consumables</t>
  </si>
  <si>
    <t>Wellington - Publications</t>
  </si>
  <si>
    <t>Wellington - Subs/Membership Fees</t>
  </si>
  <si>
    <t>Wellington - Resource Production</t>
  </si>
  <si>
    <t>Wellington - Education Resources</t>
  </si>
  <si>
    <t>Wellington - Curriculum Days</t>
  </si>
  <si>
    <t>Wellington - DOM Expenses</t>
  </si>
  <si>
    <t>* Napier VRC</t>
  </si>
  <si>
    <t>Napier - Postage</t>
  </si>
  <si>
    <t>Napier - Vehicle Insurance</t>
  </si>
  <si>
    <t>Napier - Photocopying</t>
  </si>
  <si>
    <t>Napier - Printing/Stationery</t>
  </si>
  <si>
    <t>Napier - Consumables</t>
  </si>
  <si>
    <t>Napier - Publications</t>
  </si>
  <si>
    <t>Napier - Educational Resources</t>
  </si>
  <si>
    <t>Napier - DOM Expenses</t>
  </si>
  <si>
    <t>* PN VRC</t>
  </si>
  <si>
    <t>PN - Postage</t>
  </si>
  <si>
    <t>PN - Vehicle Maintenance</t>
  </si>
  <si>
    <t>PN - Equipment Maintenance</t>
  </si>
  <si>
    <t>PN - Photocopying</t>
  </si>
  <si>
    <t>PN - Printing/Stationery</t>
  </si>
  <si>
    <t>PN - Consumables</t>
  </si>
  <si>
    <t>PN - Publications</t>
  </si>
  <si>
    <t>PN - Subs/Membership Fees</t>
  </si>
  <si>
    <t>PN - Educational Resources</t>
  </si>
  <si>
    <t>PN - DOM Expenses</t>
  </si>
  <si>
    <t>* Tauranga VRC</t>
  </si>
  <si>
    <t>Tauranga - Postage</t>
  </si>
  <si>
    <t>Tauranga - Equip Maintenance</t>
  </si>
  <si>
    <t>Tauranga - Photocopying</t>
  </si>
  <si>
    <t>Tauranga - Printing/Stationery</t>
  </si>
  <si>
    <t>Tauranga - Consumables</t>
  </si>
  <si>
    <t>Tauranga - Subs/Membership Fees</t>
  </si>
  <si>
    <t>Tauranga - Teaching Resources</t>
  </si>
  <si>
    <t>Tauranga - Professional Materials</t>
  </si>
  <si>
    <t>Tauranga - DOM Expenses</t>
  </si>
  <si>
    <t>* Taranaki VRC</t>
  </si>
  <si>
    <t>Taranaki - Postage</t>
  </si>
  <si>
    <t>Taranaki Equip Maintenance</t>
  </si>
  <si>
    <t>Taranaki - Photocopying</t>
  </si>
  <si>
    <t>Taranaki - Printing/Stationery</t>
  </si>
  <si>
    <t>Taranaki - Consumables</t>
  </si>
  <si>
    <t>Taranaki - Publications</t>
  </si>
  <si>
    <t>Taranaki - Subs/Membership</t>
  </si>
  <si>
    <t>Taranaki - Educational Resources</t>
  </si>
  <si>
    <t>Taranaki DOM Expenses</t>
  </si>
  <si>
    <t>* Otago VRC</t>
  </si>
  <si>
    <t>Otago - Postage</t>
  </si>
  <si>
    <t>Otago - Telephone Rental/Tolls/Faxes</t>
  </si>
  <si>
    <t>Otago - Vehicle Insurance</t>
  </si>
  <si>
    <t>Otago - Vehicle Maintenance</t>
  </si>
  <si>
    <t>Otago - Equipment Maintenance</t>
  </si>
  <si>
    <t>Otago - Printing/Stationery</t>
  </si>
  <si>
    <t>Otago - Consumables</t>
  </si>
  <si>
    <t>Otago - Publications</t>
  </si>
  <si>
    <t>Otago - Subs/Membership Fees</t>
  </si>
  <si>
    <t>Otago - Educational Equipment</t>
  </si>
  <si>
    <t>Otago - Photocopying</t>
  </si>
  <si>
    <t>Otago - DOM Expenses</t>
  </si>
  <si>
    <t>* Administration &amp; Property</t>
  </si>
  <si>
    <t>* DOM Trainees</t>
  </si>
  <si>
    <t>* RTV Training</t>
  </si>
  <si>
    <t>* Auckland South Operating Costs</t>
  </si>
  <si>
    <t>Auck South - Courier</t>
  </si>
  <si>
    <t>Auck South - Postage</t>
  </si>
  <si>
    <t>Auck South - Tel Rental/Tolls/Fax</t>
  </si>
  <si>
    <t>Auck South - Equipment Maintenance</t>
  </si>
  <si>
    <t>Auck South - Photocopying</t>
  </si>
  <si>
    <t>Auck South - Printing/Stationery</t>
  </si>
  <si>
    <t>Auck South - Consumables</t>
  </si>
  <si>
    <t>Auck South - Publications</t>
  </si>
  <si>
    <t>Auck South - Subs/Membership Fees</t>
  </si>
  <si>
    <t>Auck South - Resource Production</t>
  </si>
  <si>
    <t>Auck South - DOM Expenses</t>
  </si>
  <si>
    <t>* Auckland South Personnel</t>
  </si>
  <si>
    <t>* Northland Operating Costs</t>
  </si>
  <si>
    <t>Northland - Courier</t>
  </si>
  <si>
    <t>Northland - Postage</t>
  </si>
  <si>
    <t>Northland - Equip Maintenance</t>
  </si>
  <si>
    <t>Northland - Photocopying</t>
  </si>
  <si>
    <t>Northland - Printing/Stationery</t>
  </si>
  <si>
    <t>Northland Consumables</t>
  </si>
  <si>
    <t>Northland - Publications</t>
  </si>
  <si>
    <t>Northland - Subs/Membership Fees</t>
  </si>
  <si>
    <t>Northland - Resource Production</t>
  </si>
  <si>
    <t>Northland - DOM Expenses</t>
  </si>
  <si>
    <t>Northland - Salaries</t>
  </si>
  <si>
    <t>Northland - Recruitment</t>
  </si>
  <si>
    <t>Northland Staff Training/Conf</t>
  </si>
  <si>
    <t>Northland - Staff Travel/Accom</t>
  </si>
  <si>
    <t>Northland - Petrol</t>
  </si>
  <si>
    <t>* Pukekohe Operating</t>
  </si>
  <si>
    <t>Pukekohe - Courier</t>
  </si>
  <si>
    <t>Pukekohe - Postage</t>
  </si>
  <si>
    <t>Pukekohe - Equip Maintenance</t>
  </si>
  <si>
    <t>Pukekohe - Photocopying</t>
  </si>
  <si>
    <t>Puke - Printing/Stationery</t>
  </si>
  <si>
    <t>Pukekohe Consumables</t>
  </si>
  <si>
    <t>Pukekohe - Publications</t>
  </si>
  <si>
    <t>Puke - Subs/Membership Fees</t>
  </si>
  <si>
    <t>Pukekohe Resource Production</t>
  </si>
  <si>
    <t>Pukekohe DOM Expenses</t>
  </si>
  <si>
    <t>* Pukekohe Personnel</t>
  </si>
  <si>
    <t>Fuji Xerox Photocopier</t>
  </si>
  <si>
    <t>TRL Finance Lease Term</t>
  </si>
  <si>
    <t>X10286</t>
  </si>
  <si>
    <t>X10287</t>
  </si>
  <si>
    <t>X10320</t>
  </si>
  <si>
    <t>X35156</t>
  </si>
  <si>
    <t>X35250</t>
  </si>
  <si>
    <t>X35253</t>
  </si>
  <si>
    <t>X35255</t>
  </si>
  <si>
    <t>X35258</t>
  </si>
  <si>
    <t>X35260</t>
  </si>
  <si>
    <t>X35263</t>
  </si>
  <si>
    <t>X35265</t>
  </si>
  <si>
    <t>X35273</t>
  </si>
  <si>
    <t>X35275</t>
  </si>
  <si>
    <t>X39162</t>
  </si>
  <si>
    <t>X39212</t>
  </si>
  <si>
    <t>X39253</t>
  </si>
  <si>
    <t>PN - Vehicle Insurance</t>
  </si>
  <si>
    <t>X39303</t>
  </si>
  <si>
    <t>X39304</t>
  </si>
  <si>
    <t>X39312</t>
  </si>
  <si>
    <t>X39445</t>
  </si>
  <si>
    <t>Other MOE Grants total includes additional COVID-19 funding totalling $86,076 for the year ended 31 December 2020.</t>
  </si>
  <si>
    <t>Transfer of HECCT Cash Assets</t>
  </si>
  <si>
    <t xml:space="preserve">   </t>
  </si>
  <si>
    <t>Other Information</t>
  </si>
  <si>
    <t>less: Closing Sundry Creditors (GL's 9312 to 9314, 9316, 9318)</t>
  </si>
  <si>
    <t>less: Closing Sundry Creditors (GL's 9300 to 9311,  9319, 9320)</t>
  </si>
  <si>
    <t>plus: Opening Sundry Creditors (GL's 9300 to 9311, 9319, 9320)</t>
  </si>
  <si>
    <t>Less: GST receivable in code 9115</t>
  </si>
  <si>
    <t>plus: Opening Sundry Creditors (GL's 9312 to 9314, 9316,9318)</t>
  </si>
  <si>
    <t>Other MoE Grants (Non-Cash)</t>
  </si>
  <si>
    <t>STAR Courses</t>
  </si>
  <si>
    <t>JCHS Classroom Consumables</t>
  </si>
  <si>
    <t>Tamaoho (Pukekohe)Classroom Consumables</t>
  </si>
  <si>
    <t>Scott Point Use of Facilities</t>
  </si>
  <si>
    <t>Scott Point Classroom Consumables</t>
  </si>
  <si>
    <t>Teacher Aides - Tamaoho</t>
  </si>
  <si>
    <t>Teacher Aides - Scott Point</t>
  </si>
  <si>
    <t>Accessit</t>
  </si>
  <si>
    <t>Regional RTV Release Days</t>
  </si>
  <si>
    <t>Ophthalmic Database &amp; Research</t>
  </si>
  <si>
    <t>Adjustment to the Provision</t>
  </si>
  <si>
    <t>RTLB Otago - Debtors</t>
  </si>
  <si>
    <t>C527</t>
  </si>
  <si>
    <t>Scott Point</t>
  </si>
  <si>
    <t>D04</t>
  </si>
  <si>
    <t>SIP - Titoki Upgrade</t>
  </si>
  <si>
    <t>D04E</t>
  </si>
  <si>
    <t>XD02</t>
  </si>
  <si>
    <t>XD02E</t>
  </si>
  <si>
    <t>XD03</t>
  </si>
  <si>
    <t>XD03E</t>
  </si>
  <si>
    <t>Cyclical maintenance Increase</t>
  </si>
  <si>
    <t>Cyclical maintenance Adjustment</t>
  </si>
  <si>
    <t>manually adjust Notes Row 299 and 302 cyclical mtce</t>
  </si>
  <si>
    <t>Funds held for Capital Works Projects</t>
  </si>
  <si>
    <t>Board Contributions</t>
  </si>
  <si>
    <t>Opening
Balance (NBV)</t>
  </si>
  <si>
    <t>Total (NBV)</t>
  </si>
  <si>
    <t>Members of the Board</t>
  </si>
  <si>
    <t>Term Expired/Expires</t>
  </si>
  <si>
    <t>Presiding Member</t>
  </si>
  <si>
    <t>Full Name of Presiding Member</t>
  </si>
  <si>
    <t>The Board accepts responsibility for the preparation of the annual financial statements</t>
  </si>
  <si>
    <t>Interest Income</t>
  </si>
  <si>
    <t>Equity at 1 January</t>
  </si>
  <si>
    <t>Finance Lease liability</t>
  </si>
  <si>
    <t>Funds Administered on Behalf of Third Parties</t>
  </si>
  <si>
    <t>Blind and Low Vision Education Network NZ -952-</t>
  </si>
  <si>
    <t>Capital Contributions from the Ministry of Education</t>
  </si>
  <si>
    <t>Provision for Cyclical Maintenance</t>
  </si>
  <si>
    <t xml:space="preserve">     Donations &amp; Bequests</t>
  </si>
  <si>
    <t xml:space="preserve">     Fundraising &amp; Community Grants</t>
  </si>
  <si>
    <t xml:space="preserve">     Fundraising and Community Grant Costs</t>
  </si>
  <si>
    <t>From Payables workpaper</t>
  </si>
  <si>
    <t>Kylee Maloney</t>
  </si>
  <si>
    <t>Kevin Manson</t>
  </si>
  <si>
    <t>Net Surplus / (Deficit) for the year</t>
  </si>
  <si>
    <t>d) Operating Lease Payments</t>
  </si>
  <si>
    <t xml:space="preserve">e) Finance Lease Payments </t>
  </si>
  <si>
    <t>f) Cash and Cash Equivalents</t>
  </si>
  <si>
    <t>g) Accounts Receivable</t>
  </si>
  <si>
    <t>h) Inventories</t>
  </si>
  <si>
    <t>i) Investments</t>
  </si>
  <si>
    <t>j) Property, Plant and Equipment</t>
  </si>
  <si>
    <t>k) Intangible Assets</t>
  </si>
  <si>
    <t>l) Impairment of property, plant, and equipment and intangible assets</t>
  </si>
  <si>
    <t>m) Accounts Payable</t>
  </si>
  <si>
    <t>n) Employee Entitlements</t>
  </si>
  <si>
    <t>o) Revenue Received in Advance</t>
  </si>
  <si>
    <r>
      <t>p) Funds Held in Trust</t>
    </r>
    <r>
      <rPr>
        <b/>
        <i/>
        <sz val="12"/>
        <rFont val="Arial"/>
        <family val="2"/>
      </rPr>
      <t xml:space="preserve"> </t>
    </r>
  </si>
  <si>
    <t>Project No.</t>
  </si>
  <si>
    <t>Balance at 31 December</t>
  </si>
  <si>
    <t>5-40 years</t>
  </si>
  <si>
    <t>Swimming Pool Development</t>
  </si>
  <si>
    <t xml:space="preserve">The school has committed to spend $1.35m in 2022 on the upgrade of the swimming pool building and hoist equipment. The Ministry has approved funding for this project. </t>
  </si>
  <si>
    <t>Nigel Ngahiwi</t>
  </si>
  <si>
    <t xml:space="preserve">     Fees for Extra Curricular Activities</t>
  </si>
  <si>
    <t xml:space="preserve">     Activities</t>
  </si>
  <si>
    <t>180 - 190</t>
  </si>
  <si>
    <t>4 - 5</t>
  </si>
  <si>
    <t>130-140</t>
  </si>
  <si>
    <t>Teachers Salaries - Payroll Errors</t>
  </si>
  <si>
    <t>Library</t>
  </si>
  <si>
    <t>AFM Accessible Formats</t>
  </si>
  <si>
    <t>Cleaning Contractor</t>
  </si>
  <si>
    <t>Teacher Aides - James Cook</t>
  </si>
  <si>
    <t>* National Library</t>
  </si>
  <si>
    <t>ACC</t>
  </si>
  <si>
    <t>Library Materials</t>
  </si>
  <si>
    <t>Accessit Software</t>
  </si>
  <si>
    <t>Office &amp; Library Supplies</t>
  </si>
  <si>
    <t>* Accessible Formats Materials: Production</t>
  </si>
  <si>
    <t>AFM Materials</t>
  </si>
  <si>
    <t>Large Print Photocopying</t>
  </si>
  <si>
    <t>Tactile Materials</t>
  </si>
  <si>
    <t>Software Licenses</t>
  </si>
  <si>
    <t>Courier Costs</t>
  </si>
  <si>
    <t>Telecommunications</t>
  </si>
  <si>
    <t>AFM Sub Contract</t>
  </si>
  <si>
    <t>Pur FA - Prof Develop</t>
  </si>
  <si>
    <t>C549</t>
  </si>
  <si>
    <t>Pur FA National Library</t>
  </si>
  <si>
    <t>C691</t>
  </si>
  <si>
    <t>MOE Covid-19 Devices</t>
  </si>
  <si>
    <t>D05</t>
  </si>
  <si>
    <t>AVRC Fire Remediation</t>
  </si>
  <si>
    <t>D05E</t>
  </si>
  <si>
    <t xml:space="preserve">The use of land and buildings figure represents 5% of the school’s total property value. Property values are established as part of the nation-wide revaluation exercise that is conducted every 30 June for the Ministry of Education’s year-end reporting purposes. </t>
  </si>
  <si>
    <t>Parent Rep</t>
  </si>
  <si>
    <t>Selected</t>
  </si>
  <si>
    <t>Pauline Melham</t>
  </si>
  <si>
    <t>Statement of Comprehensive Revenue and Expense</t>
  </si>
  <si>
    <t>Gain on sale of Property, Plant  and Equipment</t>
  </si>
  <si>
    <t>Learning Resources</t>
  </si>
  <si>
    <t>Other Comprehensive Revenue and Expense</t>
  </si>
  <si>
    <t>for the year</t>
  </si>
  <si>
    <t>Furniture and Equipment Grant</t>
  </si>
  <si>
    <t>1000</t>
  </si>
  <si>
    <t xml:space="preserve">The Education and Training Act 2020 requires the School, as a Crown entity, to prepare financial statements in accordance with generally accepted accounting practice. The financial statements have been prepared in accordance with generally accepted accounting practice in New Zealand, applying Public Sector Public Benefit Entity (PBE) Standards Reduced Disclosure Regime as appropriate to public benefit entities that qualify for Tier 2 reporting. The school is considered a Public Benefit Entity as it meets the criteria specified as 'having a primary objective to provide goods and/or services for community or social benefit and where any equity has been provided with a view to supporting that primary objective rather than for financial return to equity holders'. </t>
  </si>
  <si>
    <r>
      <t>The School qualifies for Tier 2 as the school is not publicly accountable and is not considered large as it falls below the expense threshold of $30 million per year. All</t>
    </r>
    <r>
      <rPr>
        <sz val="10"/>
        <color indexed="8"/>
        <rFont val="Arial"/>
        <family val="2"/>
      </rPr>
      <t xml:space="preserve"> relevant reduced disclosure concessions hav</t>
    </r>
    <r>
      <rPr>
        <sz val="10"/>
        <rFont val="Arial"/>
        <family val="2"/>
      </rPr>
      <t>e been taken.</t>
    </r>
  </si>
  <si>
    <t>Measurement Base</t>
  </si>
  <si>
    <t>The financial statements are prepared on the historical cost basis unless otherwise noted in a specific accounting policy.</t>
  </si>
  <si>
    <t>The School reviews the grants monies received at the end of each reporting period and whether any require a provision to carry forward amounts unspent. The School believes all grants received have been appropriately recognised as a liability if required. Government grants are disclosed at note 2.</t>
  </si>
  <si>
    <t>The property from which the School operates is owned by the Crown and managed by the Ministry of Education on behalf of the Crown.  Grants for the use of land and buildings are not received in cash by the School as they equate to the deemed expense for using the land and buildings which are owned by the Crown. The School’s use of the land and buildings as occupant is based on a property occupancy document as gazetted by the Ministry. The expense is based on an assumed market rental yield on the value of land and buildings as used for rating purposes. 
This is a non-cash revenue that is offset by a non-cash expense. The use of land and buildings grants and associated expenditure are recorded in the period the School uses the land and buildings.</t>
  </si>
  <si>
    <t>The property from which the School operates is owned by the Proprietor. Grants for the use of land and buildings are also not received in cash by the school however they equate to the deemed expense for using the land and buildings. This expense is based on an assumed market rental yield on the land and buildings as used for rating purposes. 
This is a non-cash revenue that is offset by a non-cash expense. The use of land and buildings grants and associated expenditure are recorded in the period the School uses the land and buildings.</t>
  </si>
  <si>
    <t>Other Grants where conditions exist</t>
  </si>
  <si>
    <t xml:space="preserve">Improvements (funded by the Board) to buildings owned by the Crown or directly by the board are recorded at cost, less accumulated depreciation and impairment losses.  </t>
  </si>
  <si>
    <t>Improvements to buildings owned by the Proprietor are recorded at cost, less accumulated depreciation and impairment losses.</t>
  </si>
  <si>
    <r>
      <t>Gains and losses on disposals (</t>
    </r>
    <r>
      <rPr>
        <sz val="10"/>
        <color indexed="8"/>
        <rFont val="Arial"/>
        <family val="2"/>
      </rPr>
      <t>i.e. sold or given away) are determined by comparing the proceeds received with the carrying amounts (i.e. the book value). The gain or loss arising from the disposal of an item of property, plant and equipment is recognised in the Statement of Comprehensive Revenue and Expense.</t>
    </r>
  </si>
  <si>
    <t>A finance lease transfers to the lessee substantially all the risks and rewards incidental to ownership of an asset, whether or not title is eventually transferred. At the start of the lease term, finance leases are recognised as assets and liabilities in the Statement of Financial Position at the lower of the fair value of the leased asset or the present value of the minimum lease payments. The finance charge is charged to the surplus or deficit over the lease period so as to produce a constant periodic rate of interest on the remaining balance of the liability. The amount recognised as an asset is depreciated over its useful life. If there is no reasonable certainty whether the school will obtain ownership at the end of the lease term, the asset is fully depreciated over the shorter of the lease term and its useful life.</t>
  </si>
  <si>
    <t>Building Improvements</t>
  </si>
  <si>
    <t>Information and Communication Technology</t>
  </si>
  <si>
    <t>Computer software acquired by the School are capitalised on the basis of the costs incurred to acquire and bring to use the specific software. Costs associated with subsequent maintenance and research expenditure are recognised as an expense in the Statement of Comprehensive Revenue and Expense when incurred.</t>
  </si>
  <si>
    <t>Funds are held in trust where they have been received by the School for a specified purpose, or are being held on behalf of a third party and these transactions are not recorded in the Statement of Comprehensive Revenue and Expense.
The School holds sufficient funds to enable the funds to be used for their intended purpose at any time.</t>
  </si>
  <si>
    <t>q) Funds held for Capital works</t>
  </si>
  <si>
    <t>The school directly receives funding from the Ministry of Education for capital works projects that are included in the School five year capital works agreement. These funds are held on behalf and for a specified purpose as such these transactions are not recorded in the Statement of Comprehensive Revenue and Expense. 
The School holds sufficient funds to enable the funds to be used for their intended purpose at any time.</t>
  </si>
  <si>
    <r>
      <t>r) Shared Funds</t>
    </r>
    <r>
      <rPr>
        <b/>
        <i/>
        <sz val="12"/>
        <rFont val="Arial"/>
        <family val="2"/>
      </rPr>
      <t xml:space="preserve"> </t>
    </r>
  </si>
  <si>
    <t>Shared Funds are held on behalf of a cluster of participating schools as agreed with the Ministry of Education.  In instances where funds are outside of the School's control, these amounts are not recorded in the Statement of Comprehensive Revenue and Expense. In instances where the school is determined to be the principal for providing the service related to the Shared Funds (such as the RTLB programme), all income and expenditure related to the provision of the service is recorded in the Statement of Comprehensive Revenue and Expense. The School holds sufficient funds to enable the funds to be used for their intended purpose.</t>
  </si>
  <si>
    <r>
      <t>s) Provision for Cyclical Maintenance</t>
    </r>
    <r>
      <rPr>
        <b/>
        <sz val="10"/>
        <color indexed="23"/>
        <rFont val="Arial"/>
        <family val="2"/>
      </rPr>
      <t/>
    </r>
  </si>
  <si>
    <t xml:space="preserve">Cyclical maintenance, which involves painting the interior and exterior of the School, makes up the most significant part of the Board’s responsibilities outside day-to-day maintenance. The provision is a reasonable estimate, based on the school’s best estimate of the cost of painting the school and when the school is required to be painted, based on an assessment of the school’s condition. 
The schools carries out painting maintenance of the whole school over a 7 to 10 year period, the economic outflow of this is dependent on the plan established by the school to meet this obligation and is detailed in the notes and disclosures of these accounts. </t>
  </si>
  <si>
    <t>The property from which the school operates is owned by the Proprietor. The Board is responsible for maintaining the land, buildings and other facilities on the School site in a state of good order and repair.
Cyclical maintenance, which involves painting the interior and exterior of the School, makes up the most significant part of the Board's responsibilities outside day-to-day maintenance. The provision is a reasonable estimate, based on an up to date 10 Year Property Plan (10YPP) or another appropriate source of evidence.</t>
  </si>
  <si>
    <t>t) Financial Instruments</t>
  </si>
  <si>
    <t xml:space="preserve">The School’s financial assets comprise cash and cash equivalents, accounts receivable, and investments. All of these financial assets, except for investments that are shares, are initially recognised at fair value and subsequently measured at amortised cost, using the effective interest method. </t>
  </si>
  <si>
    <t>Investments that are shares are categorised as 'financial assets at fair value through other comprehensive revenue and expense' for accounting purposes in accordance with financial reporting standards. On initial recognition of an equity investment that is not held for trading, the School may irrevocably elect to present subsequent changes in the investment's fair value in other comprehensive revenue and expense. This election has been made for investments that are shares. Subsequent to initial recognition, these assets are measured at fair value. Dividends are recognised as income in surplus or deficit unless the dividend clearly represents a recovery of part of the cost of the investment. Other net gains and losses are recognised in other comprehensive revenue and expense and are never reclassified to surplus or deficit.</t>
  </si>
  <si>
    <t xml:space="preserve">The School’s financial liabilities comprise accounts payable, borrowings, finance lease liability, and painting contract liability. Financial liabilities are subsequently measured at amortised cost using the effective interest method. Interest expense and any gain or loss on derecognition are recognised in surplus or deficit. </t>
  </si>
  <si>
    <t>u) Borrowings</t>
  </si>
  <si>
    <t xml:space="preserve">Borrowings on normal commercial terms are initially recognised at the amount borrowed plus transaction costs. Interest due on the borrowings is subsequently accrued and added to the borrowings balance. Borrowings are classified as current liabilities unless the school has an unconditional right to defer settlement of the liability for at least 12 months after balance date. 
</t>
  </si>
  <si>
    <t>v) Goods and Services Tax (GST)</t>
  </si>
  <si>
    <t xml:space="preserve">w) Budget Figures </t>
  </si>
  <si>
    <t xml:space="preserve">The budget figures are extracted from the School budget that was approved by the Board. </t>
  </si>
  <si>
    <t>x) Services received in-kind</t>
  </si>
  <si>
    <t>Short-term Bank Deposits</t>
  </si>
  <si>
    <t>Cash and cash equivalents for Statement of Cash Flows</t>
  </si>
  <si>
    <t>There are no restrictions over the title of the school's property, plant and equipment, nor are any property, plant and equipment pledged as security for liabilities.</t>
  </si>
  <si>
    <t>Restrictions</t>
  </si>
  <si>
    <t>Creditors</t>
  </si>
  <si>
    <t xml:space="preserve">Employee benefits - salaries </t>
  </si>
  <si>
    <t>Other revenue in Advance</t>
  </si>
  <si>
    <t>Future Finance Charges</t>
  </si>
  <si>
    <t>Represented by</t>
  </si>
  <si>
    <t>Finance lease liability - Current</t>
  </si>
  <si>
    <t>Finance lease liability - Non current</t>
  </si>
  <si>
    <t>During the year the School received and applied funding from the Ministry of Education for the following capital works projects. The amount of cash held on behalf of the Ministry for capital works project is included under cash and cash equivalents in note 11.</t>
  </si>
  <si>
    <t>The School is a controlled entity of the Crown, and the Crown provides the major source of revenue to the school. The school enters into transactions with other entities also controlled by the Crown, such as government departments, state-owned enterprises and other Crown entities. Transactions with these entities are not disclosed as they occur on terms and conditions no more or less favourable than those that it is reasonable to expect the school would have adopted if dealing with that entity at arm’s length.</t>
  </si>
  <si>
    <t>Related party disclosures have not been made for transactions with related parties that are within a normal supplier or client/recipient relationship on terms and conditions no more or less favourable than those that it is reasonable to expect the school would have adopted in dealing with the party at arm’s length in the same circumstances. Further, transactions with other government agencies (for example, Government departments and Crown entities) are not disclosed as related party transactions when they are consistent with the normal operating arrangements between government agencies and undertaken on the normal terms and conditions for such transactions.</t>
  </si>
  <si>
    <t>There are 8 members of the Board excluding the Principal. The Board had held 6 full meetings of the Board in the year. The Board also has Finance (3 members) and Property (6 members) that met 6 times. As well as these regular meetings, including preparation time, the Presiding member and other Board members have also been involved in ad hoc meetings.</t>
  </si>
  <si>
    <t>Accumulated comprehensive revenue and expense</t>
  </si>
  <si>
    <t>A school recognises its obligation to maintain the Ministry’s buildings in a good state of repair as a provision for cyclical maintenance. This provision relates mainly to the painting of the school buildings. The estimate is based on the school’s best estimate of the cost of painting the school and when the school is required to be painted, based on an assessment of the school’s condition. During the year, the Board assesses the reasonableness of its painting maintenance plan on which the provision is based. Cyclical maintenance is disclosed at note 18.</t>
  </si>
  <si>
    <t>Provision at the end of the year</t>
  </si>
  <si>
    <t>Provision at the Start of the Year</t>
  </si>
  <si>
    <t>Increase to the Provision During the Year</t>
  </si>
  <si>
    <t xml:space="preserve">Use of the Provision During the Year </t>
  </si>
  <si>
    <t xml:space="preserve">Other Adjustments </t>
  </si>
  <si>
    <t xml:space="preserve">The schools cyclical maintenance schedule details annual painting to be undertaken, the costs associated to this annual work will vary dependent on the requirements during the year. This plan is based on quotes and recent painting costs.  </t>
  </si>
  <si>
    <t>Statement of Compliance with Employment Policy</t>
  </si>
  <si>
    <r>
      <t>·</t>
    </r>
    <r>
      <rPr>
        <sz val="7"/>
        <rFont val="Times New Roman"/>
        <family val="1"/>
      </rPr>
      <t xml:space="preserve">         </t>
    </r>
    <r>
      <rPr>
        <sz val="10"/>
        <rFont val="Arial"/>
        <family val="2"/>
      </rPr>
      <t>Has developed and implemented personnel policies, within policy and procedural frameworks to ensure the fair and proper treatment of employees in all aspects of their employment</t>
    </r>
  </si>
  <si>
    <r>
      <t>·</t>
    </r>
    <r>
      <rPr>
        <sz val="7"/>
        <rFont val="Times New Roman"/>
        <family val="1"/>
      </rPr>
      <t xml:space="preserve">         </t>
    </r>
    <r>
      <rPr>
        <sz val="10"/>
        <rFont val="Arial"/>
        <family val="2"/>
      </rPr>
      <t>Has reviewed its compliance against both its personnel policy and procedures and can report that it meets all requirements and identified best practice.</t>
    </r>
  </si>
  <si>
    <r>
      <t>·</t>
    </r>
    <r>
      <rPr>
        <sz val="7"/>
        <rFont val="Times New Roman"/>
        <family val="1"/>
      </rPr>
      <t xml:space="preserve">         </t>
    </r>
    <r>
      <rPr>
        <sz val="10"/>
        <rFont val="Arial"/>
        <family val="2"/>
      </rPr>
      <t>Is a good employer and complies with the conditions contained in the employment contracts of all staff employed by the Board.</t>
    </r>
  </si>
  <si>
    <r>
      <t>·</t>
    </r>
    <r>
      <rPr>
        <sz val="7"/>
        <rFont val="Times New Roman"/>
        <family val="1"/>
      </rPr>
      <t xml:space="preserve">         </t>
    </r>
    <r>
      <rPr>
        <sz val="10"/>
        <rFont val="Arial"/>
        <family val="2"/>
      </rPr>
      <t>Ensures all employees and applicants for employment are treated according to their skills, qualifications and abilities, without bias or discrimination.</t>
    </r>
  </si>
  <si>
    <r>
      <t>·</t>
    </r>
    <r>
      <rPr>
        <sz val="7"/>
        <rFont val="Times New Roman"/>
        <family val="1"/>
      </rPr>
      <t>        </t>
    </r>
    <r>
      <rPr>
        <sz val="10"/>
        <rFont val="Arial"/>
        <family val="2"/>
      </rPr>
      <t xml:space="preserve"> Meets all Equal Employment Opportunities requirements.</t>
    </r>
  </si>
  <si>
    <t>Scott Point Playground</t>
  </si>
  <si>
    <t>D06</t>
  </si>
  <si>
    <t>D06E</t>
  </si>
  <si>
    <t>Scott Point Playground Expenses</t>
  </si>
  <si>
    <t>Missing in the first draft</t>
  </si>
  <si>
    <t>(u) Funds Administered on Behalf of Third Parties (GL's 7400 to 7999, D01 to D01E)</t>
  </si>
  <si>
    <t>$221,010 contract for the Scott Point School Playground as agent for the Ministry of Education. This project is partly fully funded by the Ministry and partly by the School and $150,000 has been received of which $88,404 has been spent on the project to balance date. This project has been approved by the Ministry.</t>
  </si>
  <si>
    <t>The School's 2023 financial statements are authorised for issue by the Board.</t>
  </si>
  <si>
    <t>Balance at 31 December 2023</t>
  </si>
  <si>
    <t>Holidays Act Compliance – schools payroll
The Ministry of Education performs payroll processing and payments on behalf of boards, through payroll service provider Education Payroll Limited. 
The Ministry's review of the schools sector payroll to ensure compliance with the Holidays Act 2003 is ongoing. Final calculations and potential impact on any specific individual will not be known until further detailed analysis and solutions have been completed. 
To the extent that any obligation cannot reasonably be quantified at 31 December 2023, a contingent liability for the school may exist.</t>
  </si>
  <si>
    <t>(Capital commitments at 31 December 2022: The school has committed to spend $1.35m in 2023 on the upgrade of the swimming pool building and hoist equipment. The Ministry has approved funding for this project.)</t>
  </si>
  <si>
    <t>There are no operating commitments as at 31 December 2023 (Operating commitments as 31 December 2022: nil)</t>
  </si>
  <si>
    <t>Staff Banking Year End Wash-up</t>
  </si>
  <si>
    <t>MOE Study Award Income</t>
  </si>
  <si>
    <t>Support Staff</t>
  </si>
  <si>
    <t>Tactile Production Salaries</t>
  </si>
  <si>
    <t>Art Therapist</t>
  </si>
  <si>
    <t>VRC Managers</t>
  </si>
  <si>
    <t>VRC Offsite Parking Costs</t>
  </si>
  <si>
    <t>Tactile Resources</t>
  </si>
  <si>
    <t>Therapy, Consultants, Coaching</t>
  </si>
  <si>
    <t>Early Learning PD</t>
  </si>
  <si>
    <t>IEP Immersion</t>
  </si>
  <si>
    <t>Principal's Leadership Development</t>
  </si>
  <si>
    <t>Legal Expenses</t>
  </si>
  <si>
    <t>Community Consultation</t>
  </si>
  <si>
    <t>RTV Course Release</t>
  </si>
  <si>
    <t>* Counsellor-Social Workers</t>
  </si>
  <si>
    <t>Staffing - Counsellors</t>
  </si>
  <si>
    <t>Staffing - Administration</t>
  </si>
  <si>
    <t>External Supervision</t>
  </si>
  <si>
    <t>Professional Registration</t>
  </si>
  <si>
    <t>Training/Conferences</t>
  </si>
  <si>
    <t>Travel &amp; Accommodation</t>
  </si>
  <si>
    <t>* National Services - Sports Curriculum</t>
  </si>
  <si>
    <t>External Contractors</t>
  </si>
  <si>
    <t>* National Services - Music &amp; Arts Curriculum</t>
  </si>
  <si>
    <t>Operating</t>
  </si>
  <si>
    <t>KTR - Debtors</t>
  </si>
  <si>
    <t>Payroll Creditors</t>
  </si>
  <si>
    <t>Grants in Advance</t>
  </si>
  <si>
    <t>C528</t>
  </si>
  <si>
    <t>Nelson Sensory Resource Centre FF&amp;E</t>
  </si>
  <si>
    <t>C547</t>
  </si>
  <si>
    <t>Pur FA AFM</t>
  </si>
  <si>
    <t>C679</t>
  </si>
  <si>
    <t>Library Books</t>
  </si>
  <si>
    <t>229492 SIP - Titoki Upgrade Expenses</t>
  </si>
  <si>
    <t>236515 AVRC Fire Remediation Expenses</t>
  </si>
  <si>
    <t>In line with the Financial Statements of the Government, the School has elected to early adopt PBE IFRS 9 Financial Instruments. PBE IFRS 9 replaces PBE IPSAS 29 Financial Instruments: Recognition and Measurement. Information about the adoption of PBE IFRS 9 is provided in Note 24.</t>
  </si>
  <si>
    <t>Bank Accounts</t>
  </si>
  <si>
    <t>Contract Name</t>
  </si>
  <si>
    <t>Contract Amount</t>
  </si>
  <si>
    <t>Spend To Date</t>
  </si>
  <si>
    <t>Remaining
Capital Commitment</t>
  </si>
  <si>
    <t>Annual Financial Statements - For the year ending 31 December 2023</t>
  </si>
  <si>
    <t>Signature of Presiding Member</t>
  </si>
  <si>
    <t>Expense</t>
  </si>
  <si>
    <t>For the year ended 31 December 2023</t>
  </si>
  <si>
    <t>The financial statements have been prepared for the period 1 January 2023 to 31 December 2023 and in accordance 
with the requirements of the Education and Training Act 2020.</t>
  </si>
  <si>
    <t>For the year ended 31st December 2023 the Blind and Low Vision Education Network NZ Board:</t>
  </si>
  <si>
    <t>Service Providers, Contractors, and Consultancy</t>
  </si>
  <si>
    <t>Staffing Banking underuse</t>
  </si>
  <si>
    <t>200 - 210</t>
  </si>
  <si>
    <t>140-150</t>
  </si>
  <si>
    <t>There were no contingent assets or liabilities as at 31 December 2023. (2022:Nil)</t>
  </si>
  <si>
    <t>Tracey O'Sullivan</t>
  </si>
  <si>
    <t>Justine Edwards</t>
  </si>
  <si>
    <t>Total Revenue</t>
  </si>
  <si>
    <t>Total Expense</t>
  </si>
  <si>
    <t>Total Comprehensive Revenue and Expense</t>
  </si>
  <si>
    <t>Funds Receivable for Capital Works Projects</t>
  </si>
  <si>
    <t>Net cash from /(to) Investing Activities</t>
  </si>
  <si>
    <t xml:space="preserve">Net cash from /(to) Operating Activities </t>
  </si>
  <si>
    <t>The Statement of Cash Flows records only those cash flows directly within the control of the School.  This means centrally funded teachers' salaries, use of land and buildings grant and expense and other notional items have been excluded.</t>
  </si>
  <si>
    <t>The above Statement of Changes in Net Assets/Equity should be read in conjunction with the accompanying notes which form part of these financial statements.</t>
  </si>
  <si>
    <t>The School reviews the estimated useful lives of property, plant and equipment at the end of each reporting date. The School believes that the estimated useful lives of the property, plant and equipment, as disclosed in the significant accounting policies, are appropriate to the nature of the property, plant and equipment at reporting date. Property, plant and equipment is disclosed at note 15.</t>
  </si>
  <si>
    <t xml:space="preserve">Judgement is required on various aspects that include, but are not limited to, the fair value of the leased asset, the economic life of the leased asset, whether or not to include renewal options in the lease term, and determining an appropriate discount rate to calculate the present value of the minimum lease payments. Classification as a finance lease means the asset is recognised in the statement of financial position as property, plant, and equipment, whereas for an operating lease no such asset is recognised. Finance lease liability disclosures are contained in note 14. Future operating lease commitments are disclosed in note 20b. </t>
  </si>
  <si>
    <t xml:space="preserve">Determining whether a lease is a finance lease or an operating lease requires judgement as to whether the lease transfers substantially all the risks and rewards of ownership to the school. A lease is classified as a finance lease if it transfers substantially all risks and rewards incidental to ownership of an underlying asset to the lessee. In contrast, an operating lease is a lease that does not transfer substantially all the risks and rewards incidental to ownership of an asset to the lessee. </t>
  </si>
  <si>
    <r>
      <t xml:space="preserve">The school receives funding from the Ministry of Education. The following are the main types of funding that the School receives:
</t>
    </r>
    <r>
      <rPr>
        <sz val="10"/>
        <color indexed="8"/>
        <rFont val="Arial"/>
        <family val="2"/>
      </rPr>
      <t xml:space="preserve">Operational grants are recorded as revenue when the School has the rights to the funding, which is in the year that the funding is received. 
Teachers salaries grants are recorded as revenue when the School has the rights to the funding in the salary period they relate to. The grants are not received in cash by the School and are paid directly to teachers by the Ministry of Education. 
Other Ministry Grants for directly funded programs are recorded as revenue when the School has the rights to the funding in the period they relate to. The grants are not received in cash by the School and are paid directly by the Ministry of Education.
</t>
    </r>
  </si>
  <si>
    <t>Donations, gifts and bequests are recognised as an asset and revenue when the right to receive funding or the asset has been established unless there is an obligation to return funds if conditions are not met. If conditions are not met, funding is recognised as revenue in advance and recognised as revenue when conditions are satisfied.</t>
  </si>
  <si>
    <t>Short-term receivables are recorded at the amount due, less an allowance for expected credit losses (uncollectable debts). The schools receivables are largely made up of funding from the Ministry of Education. Therefore the level of uncollectable debts is not considered to be material. However, short-term receivables are written off when there is no reasonable expectation of recovery.</t>
  </si>
  <si>
    <t xml:space="preserve">Inventories are consumable items held for sale and are comprised of assessment stock.  They are stated at the lower of cost and net realisable value. Cost is determined on a first in, first out basis.  Net realisable value is the estimated selling price in the ordinary course of activities less the estimated costs necessary to make the sale. Any write down from cost to net realisable value is recorded as an expense in the Statement of Comprehensive Revenue and Expense in the period of the write down. </t>
  </si>
  <si>
    <t>Bank term deposits are initially measured at the amount invested. Interest is subsequently accrued and added to the investment balance. A loss allowance for expected credit losses is recognised if the estimated loss allowance is material.</t>
  </si>
  <si>
    <t>Property, plant and equipment are recorded at cost or, in the case of donated assets, fair value at the date of receipt, less accumulated depreciation and impairment losses.  Cost or fair value, as the case may be, includes those costs that relate directly to bringing the asset to the location where it will be used and making sure it is in the appropriate condition for its intended use.</t>
  </si>
  <si>
    <t>3-33 years</t>
  </si>
  <si>
    <t>3-15 years</t>
  </si>
  <si>
    <t>6 years</t>
  </si>
  <si>
    <t>12.5% Diminishing Value</t>
  </si>
  <si>
    <r>
      <t xml:space="preserve">The school does not hold any cash generating assets. Assets are considered cash generating where their primary objective is to generate a commercial return. 
</t>
    </r>
    <r>
      <rPr>
        <i/>
        <sz val="10"/>
        <rFont val="Arial"/>
        <family val="2"/>
      </rPr>
      <t>Non cash generating assets</t>
    </r>
    <r>
      <rPr>
        <sz val="10"/>
        <rFont val="Arial"/>
        <family val="2"/>
      </rPr>
      <t xml:space="preserve">
Property, plant, and equipment and intangible assets held at cost that have a finite useful life are reviewed for impairment whenever events or changes in circumstances indicate that the carrying amount may not be recoverable.  If such indication exists, the School estimates the asset's recoverable service amount. An impairment loss is recognised for the amount by which the asset’s carrying amount exceeds its recoverable service amount. The recoverable service amount is the higher of an asset’s fair value less costs to sell and value in use.
Value in use is determined using an approach based on either a depreciated replacement cost approach, restoration cost approach, or a service units approach. The most appropriate approach used to measure value in use depends on the nature of the impairment and availability of information.
In determining fair value less costs to sell the school engages an independent valuer to assess market value based on the best available information. The valuation is based on a comparison to recent market transactions. 
If an asset’s carrying amount exceeds its recoverable service amount, the asset is regarded as impaired and the carrying amount is written down to the recoverable amount. The total impairment loss is recognised in surplus or deficit.
The reversal of an impairment loss is recognised in surplus or deficit. A previously recognised impairment loss is reversed only if there has been a change in the assumptions used to determine the asset’s recoverable service amount since the last impairment loss was recognised.  
</t>
    </r>
  </si>
  <si>
    <t>Employee benefits that are not expected to be settled wholly before 12 months after the end of the reporting period in which the employee provides the related service, such as retirement and long service leave, have been calculated on an actuarial basis.
The calculations are based on the likely future entitlements accruing to employees, based on years of service, years to entitlement, the likelihood that employees will reach the point of entitlement, and contractual entitlement information, and the present value of the estimated future cash flows. Remeasurements are recognised in surplus or deficit in the period in which they arise.</t>
  </si>
  <si>
    <r>
      <t xml:space="preserve">Revenue received in advance relates to fees received from </t>
    </r>
    <r>
      <rPr>
        <sz val="10"/>
        <color indexed="8"/>
        <rFont val="Arial"/>
        <family val="2"/>
      </rPr>
      <t xml:space="preserve">students and grants received where there are unfulfilled obligations for the School to provide services in the future.  The fees are recorded as revenue as the obligations are fulfilled and the fees or grants earned.  </t>
    </r>
  </si>
  <si>
    <t>The School holds sufficient funds to enable the refund of unearned fees in relation to international students, should the School be unable to provide the services to which they relate.</t>
  </si>
  <si>
    <t>MOE - Other</t>
  </si>
  <si>
    <t>Surplus/(Deficit) for the year Locally Raised Funds</t>
  </si>
  <si>
    <t>Total Investments</t>
  </si>
  <si>
    <t>Cyclical maintenance - Non current</t>
  </si>
  <si>
    <t>Total key management personnel remuneration</t>
  </si>
  <si>
    <t>Key management personnel of the school include all board members, Principal, Deputy Principals and Heads of Departments</t>
  </si>
  <si>
    <t>Total financial assets measured at amortised cost</t>
  </si>
  <si>
    <t>Comparatives</t>
  </si>
  <si>
    <t>There have been a number of prior period comparatives which have been reclassified to make disclosure consistent with the current year.</t>
  </si>
  <si>
    <t>Funds Receivable from the Ministry of Education</t>
  </si>
  <si>
    <t>Swimming Pool</t>
  </si>
  <si>
    <t>40 years</t>
  </si>
  <si>
    <t>Employee entitlements that are expected to be settled within 12 months after the end of the reporting period in which the employees provide the related service are measured based on accrued entitlements at current rates of pay. These include salaries and wages accrued up to balance date and annual leave earned, by non teaching staff, but not yet taken at balance date.</t>
  </si>
  <si>
    <t>Karen E Stobbs</t>
  </si>
  <si>
    <t>Annual Financial Statements for the year ended 31 December 2023</t>
  </si>
  <si>
    <r>
      <t>Ministry Number:</t>
    </r>
    <r>
      <rPr>
        <sz val="12"/>
        <rFont val="Arial"/>
        <family val="2"/>
      </rPr>
      <t xml:space="preserve"> </t>
    </r>
  </si>
  <si>
    <t>accompanying notes which form part of these financial statements.</t>
  </si>
  <si>
    <t xml:space="preserve">The above Statement of Comprehensive Revenue and Expense should be read in conjunction with the </t>
  </si>
  <si>
    <t>which form part of these financial statements.</t>
  </si>
  <si>
    <t xml:space="preserve">The above Statement of Financial Position should be read in conjunction with the accompanying notes </t>
  </si>
  <si>
    <r>
      <t>Goods and Services Tax (</t>
    </r>
    <r>
      <rPr>
        <sz val="12"/>
        <rFont val="Arial"/>
        <family val="2"/>
      </rPr>
      <t>net</t>
    </r>
    <r>
      <rPr>
        <sz val="12"/>
        <color indexed="8"/>
        <rFont val="Arial"/>
        <family val="2"/>
      </rPr>
      <t>)</t>
    </r>
  </si>
  <si>
    <t>form part of these financial statements.</t>
  </si>
  <si>
    <t xml:space="preserve">The above Statement of Cash Flows should be read in conjunction with the accompanying notes which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</si>
</sst>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0_-;\-* #,##0_-;_-* &quot;-&quot;_-;_-@_-"/>
    <numFmt numFmtId="44" formatCode="_-&quot;$&quot;* #,##0.00_-;\-&quot;$&quot;* #,##0.00_-;_-&quot;$&quot;* &quot;-&quot;??_-;_-@_-"/>
    <numFmt numFmtId="43" formatCode="_-* #,##0.00_-;\-* #,##0.00_-;_-* &quot;-&quot;??_-;_-@_-"/>
    <numFmt numFmtId="164" formatCode="_(* #,##0_);_(* \(#,##0\);_(* &quot;-&quot;_);_(@_)"/>
    <numFmt numFmtId="165" formatCode="_-* #,##0_-;\-* #,##0_-;_-* &quot;-&quot;??_-;_-@_-"/>
    <numFmt numFmtId="166" formatCode="_(* #,##0_);_(* \(#,##0\);_(* &quot;-&quot;??_);_(@_)"/>
    <numFmt numFmtId="167" formatCode="#,##0;\(#,##0\)"/>
    <numFmt numFmtId="168" formatCode="_-* #,##0_-;\(* #,##0_);_-* &quot;-&quot;??_-;_-@_-"/>
    <numFmt numFmtId="169" formatCode="_(* #,##0_);_(* \(#,##0\);_(* &quot;-&quot;??_);_-@_-"/>
    <numFmt numFmtId="170" formatCode="#,##0.00000000000"/>
    <numFmt numFmtId="171" formatCode="#,###,##0;\(#,###,##0\)"/>
    <numFmt numFmtId="172" formatCode="_(* #,##0.00_);_(* \(#,##0.00\);_(* &quot;-&quot;??_);_-@_-"/>
    <numFmt numFmtId="173" formatCode="###0"/>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14"/>
      <name val="Arial"/>
      <family val="2"/>
    </font>
    <font>
      <b/>
      <sz val="18"/>
      <name val="Arial"/>
      <family val="2"/>
    </font>
    <font>
      <b/>
      <sz val="10"/>
      <name val="Arial"/>
      <family val="2"/>
    </font>
    <font>
      <u/>
      <sz val="10"/>
      <color indexed="12"/>
      <name val="Arial"/>
      <family val="2"/>
    </font>
    <font>
      <b/>
      <sz val="12"/>
      <name val="Arial"/>
      <family val="2"/>
    </font>
    <font>
      <sz val="10"/>
      <color indexed="23"/>
      <name val="Arial"/>
      <family val="2"/>
    </font>
    <font>
      <sz val="10"/>
      <color indexed="10"/>
      <name val="Arial"/>
      <family val="2"/>
    </font>
    <font>
      <i/>
      <sz val="8"/>
      <name val="Arial"/>
      <family val="2"/>
    </font>
    <font>
      <sz val="10"/>
      <name val="Arial"/>
      <family val="2"/>
    </font>
    <font>
      <b/>
      <sz val="12"/>
      <name val="Arial"/>
      <family val="2"/>
    </font>
    <font>
      <sz val="8"/>
      <name val="Arial"/>
      <family val="2"/>
    </font>
    <font>
      <i/>
      <sz val="10"/>
      <name val="Arial"/>
      <family val="2"/>
    </font>
    <font>
      <sz val="10"/>
      <name val="Arial"/>
      <family val="2"/>
    </font>
    <font>
      <b/>
      <sz val="10"/>
      <color indexed="10"/>
      <name val="Arial"/>
      <family val="2"/>
    </font>
    <font>
      <b/>
      <sz val="11"/>
      <name val="Arial"/>
      <family val="2"/>
    </font>
    <font>
      <sz val="11"/>
      <name val="Arial"/>
      <family val="2"/>
    </font>
    <font>
      <b/>
      <sz val="14"/>
      <name val="Arial"/>
      <family val="2"/>
    </font>
    <font>
      <sz val="14"/>
      <name val="Arial"/>
      <family val="2"/>
    </font>
    <font>
      <sz val="10"/>
      <color indexed="8"/>
      <name val="Arial"/>
      <family val="2"/>
    </font>
    <font>
      <sz val="10"/>
      <color indexed="8"/>
      <name val="Arial"/>
      <family val="2"/>
    </font>
    <font>
      <sz val="10"/>
      <color indexed="10"/>
      <name val="Arial"/>
      <family val="2"/>
    </font>
    <font>
      <b/>
      <sz val="11"/>
      <color indexed="8"/>
      <name val="Calibri"/>
      <family val="2"/>
    </font>
    <font>
      <b/>
      <sz val="10"/>
      <color indexed="8"/>
      <name val="Arial"/>
      <family val="2"/>
    </font>
    <font>
      <i/>
      <sz val="10"/>
      <color indexed="10"/>
      <name val="Arial"/>
      <family val="2"/>
    </font>
    <font>
      <sz val="9"/>
      <name val="Cambria"/>
      <family val="1"/>
    </font>
    <font>
      <sz val="10"/>
      <name val="Times New Roman"/>
      <family val="1"/>
    </font>
    <font>
      <b/>
      <sz val="9"/>
      <name val="Cambria"/>
      <family val="1"/>
    </font>
    <font>
      <b/>
      <sz val="24"/>
      <name val="Arial"/>
      <family val="2"/>
    </font>
    <font>
      <sz val="14"/>
      <color indexed="8"/>
      <name val="Arial"/>
      <family val="2"/>
    </font>
    <font>
      <sz val="10"/>
      <name val="Arial"/>
      <family val="2"/>
    </font>
    <font>
      <sz val="8"/>
      <name val="Arial"/>
      <family val="2"/>
    </font>
    <font>
      <b/>
      <u/>
      <sz val="10"/>
      <name val="Arial"/>
      <family val="2"/>
    </font>
    <font>
      <sz val="10"/>
      <name val="Arial"/>
      <family val="2"/>
    </font>
    <font>
      <sz val="10"/>
      <color indexed="0"/>
      <name val="Arial"/>
      <family val="2"/>
    </font>
    <font>
      <sz val="12"/>
      <name val="Arial"/>
      <family val="2"/>
    </font>
    <font>
      <b/>
      <i/>
      <sz val="11"/>
      <color indexed="10"/>
      <name val="Arial"/>
      <family val="2"/>
    </font>
    <font>
      <i/>
      <sz val="12"/>
      <name val="Arial"/>
      <family val="2"/>
    </font>
    <font>
      <sz val="11"/>
      <color theme="1"/>
      <name val="Calibri"/>
      <family val="2"/>
      <scheme val="minor"/>
    </font>
    <font>
      <u/>
      <sz val="6"/>
      <color theme="10"/>
      <name val="Arial"/>
      <family val="2"/>
    </font>
    <font>
      <sz val="10"/>
      <color theme="1"/>
      <name val="Arial"/>
      <family val="2"/>
    </font>
    <font>
      <b/>
      <sz val="10"/>
      <color theme="1"/>
      <name val="Arial"/>
      <family val="2"/>
    </font>
    <font>
      <b/>
      <sz val="20"/>
      <name val="Arial"/>
      <family val="2"/>
    </font>
    <font>
      <b/>
      <i/>
      <sz val="10"/>
      <name val="Arial"/>
      <family val="2"/>
    </font>
    <font>
      <i/>
      <sz val="10"/>
      <color theme="1"/>
      <name val="Arial"/>
      <family val="2"/>
    </font>
    <font>
      <sz val="10"/>
      <color rgb="FFFF0000"/>
      <name val="Arial"/>
      <family val="2"/>
    </font>
    <font>
      <b/>
      <sz val="12"/>
      <color rgb="FFFF0000"/>
      <name val="Arial"/>
      <family val="2"/>
    </font>
    <font>
      <sz val="12"/>
      <color rgb="FFFF0000"/>
      <name val="Arial"/>
      <family val="2"/>
    </font>
    <font>
      <b/>
      <sz val="11"/>
      <color theme="1"/>
      <name val="Calibri"/>
      <family val="2"/>
      <scheme val="minor"/>
    </font>
    <font>
      <b/>
      <sz val="16"/>
      <color theme="1"/>
      <name val="Calibri"/>
      <family val="2"/>
      <scheme val="minor"/>
    </font>
    <font>
      <sz val="11"/>
      <color indexed="8"/>
      <name val="Calibri"/>
      <family val="2"/>
      <scheme val="minor"/>
    </font>
    <font>
      <sz val="11"/>
      <name val="Calibri"/>
      <family val="2"/>
      <scheme val="minor"/>
    </font>
    <font>
      <sz val="10"/>
      <color theme="0"/>
      <name val="Arial"/>
      <family val="2"/>
    </font>
    <font>
      <sz val="14"/>
      <color theme="1"/>
      <name val="Arial"/>
      <family val="2"/>
    </font>
    <font>
      <b/>
      <i/>
      <sz val="10"/>
      <color rgb="FF000000"/>
      <name val="Arial"/>
      <family val="2"/>
    </font>
    <font>
      <b/>
      <i/>
      <sz val="10"/>
      <color indexed="8"/>
      <name val="Arial"/>
      <family val="2"/>
    </font>
    <font>
      <sz val="10"/>
      <color rgb="FF000000"/>
      <name val="Arial"/>
      <family val="2"/>
    </font>
    <font>
      <strike/>
      <sz val="10"/>
      <name val="Arial"/>
      <family val="2"/>
    </font>
    <font>
      <i/>
      <sz val="10"/>
      <color rgb="FF000000"/>
      <name val="Arial"/>
      <family val="2"/>
    </font>
    <font>
      <b/>
      <sz val="10"/>
      <color rgb="FF000000"/>
      <name val="Arial"/>
      <family val="2"/>
    </font>
    <font>
      <b/>
      <i/>
      <sz val="12"/>
      <name val="Arial"/>
      <family val="2"/>
    </font>
    <font>
      <b/>
      <sz val="10"/>
      <color indexed="23"/>
      <name val="Arial"/>
      <family val="2"/>
    </font>
    <font>
      <sz val="11"/>
      <color rgb="FFFF0000"/>
      <name val="Calibri"/>
      <family val="2"/>
      <scheme val="minor"/>
    </font>
    <font>
      <b/>
      <sz val="9"/>
      <name val="Arial"/>
      <family val="2"/>
    </font>
    <font>
      <sz val="11"/>
      <name val="Symbol"/>
      <family val="1"/>
      <charset val="2"/>
    </font>
    <font>
      <sz val="7"/>
      <name val="Times New Roman"/>
      <family val="1"/>
    </font>
    <font>
      <sz val="9"/>
      <color indexed="81"/>
      <name val="Tahoma"/>
      <charset val="1"/>
    </font>
    <font>
      <b/>
      <sz val="9"/>
      <color indexed="81"/>
      <name val="Tahoma"/>
      <charset val="1"/>
    </font>
    <font>
      <b/>
      <sz val="16"/>
      <name val="Arial"/>
      <family val="2"/>
    </font>
    <font>
      <sz val="16"/>
      <name val="Arial"/>
      <family val="2"/>
    </font>
    <font>
      <u/>
      <sz val="12"/>
      <color indexed="12"/>
      <name val="Arial"/>
      <family val="2"/>
    </font>
    <font>
      <b/>
      <sz val="12"/>
      <name val="Times New Roman"/>
      <family val="1"/>
    </font>
    <font>
      <sz val="12"/>
      <name val="Times New Roman"/>
      <family val="1"/>
    </font>
    <font>
      <b/>
      <sz val="12"/>
      <name val="Cambria"/>
      <family val="1"/>
    </font>
    <font>
      <sz val="12"/>
      <name val="Cambria"/>
      <family val="1"/>
    </font>
    <font>
      <sz val="12"/>
      <color indexed="8"/>
      <name val="Arial"/>
      <family val="2"/>
    </font>
    <font>
      <sz val="12"/>
      <color indexed="17"/>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9"/>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34"/>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s>
  <borders count="15">
    <border>
      <left/>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34">
    <xf numFmtId="0" fontId="0" fillId="0" borderId="0"/>
    <xf numFmtId="167" fontId="18" fillId="0" borderId="0"/>
    <xf numFmtId="43" fontId="16" fillId="0" borderId="0" applyFont="0" applyFill="0" applyBorder="0" applyAlignment="0" applyProtection="0"/>
    <xf numFmtId="43" fontId="18" fillId="0" borderId="0" applyFont="0" applyFill="0" applyBorder="0" applyAlignment="0" applyProtection="0"/>
    <xf numFmtId="43" fontId="16" fillId="0" borderId="0" applyNumberFormat="0" applyFill="0" applyBorder="0" applyAlignment="0" applyProtection="0"/>
    <xf numFmtId="43" fontId="16" fillId="0" borderId="0" applyFont="0" applyFill="0" applyBorder="0" applyAlignment="0" applyProtection="0"/>
    <xf numFmtId="44" fontId="18" fillId="0" borderId="0" applyFont="0" applyFill="0" applyBorder="0" applyAlignment="0" applyProtection="0"/>
    <xf numFmtId="0" fontId="30" fillId="0" borderId="0">
      <alignment horizontal="left"/>
    </xf>
    <xf numFmtId="171" fontId="53" fillId="0" borderId="0"/>
    <xf numFmtId="0" fontId="36" fillId="0" borderId="0">
      <alignment horizontal="left"/>
    </xf>
    <xf numFmtId="0" fontId="23"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16" fillId="0" borderId="0"/>
    <xf numFmtId="0" fontId="18" fillId="0" borderId="0"/>
    <xf numFmtId="0" fontId="16" fillId="0" borderId="0"/>
    <xf numFmtId="0" fontId="57" fillId="0" borderId="0"/>
    <xf numFmtId="0" fontId="18" fillId="0" borderId="0"/>
    <xf numFmtId="0" fontId="18" fillId="0" borderId="0"/>
    <xf numFmtId="9" fontId="16" fillId="0" borderId="0" applyFont="0" applyFill="0" applyBorder="0" applyAlignment="0" applyProtection="0"/>
    <xf numFmtId="0" fontId="16" fillId="0" borderId="0">
      <alignment horizontal="left"/>
    </xf>
    <xf numFmtId="0" fontId="54" fillId="0" borderId="0">
      <alignment horizontal="left"/>
    </xf>
    <xf numFmtId="0" fontId="17" fillId="0" borderId="1"/>
    <xf numFmtId="0" fontId="52" fillId="0" borderId="0"/>
    <xf numFmtId="0" fontId="15" fillId="0" borderId="0"/>
    <xf numFmtId="0" fontId="14" fillId="0" borderId="0"/>
    <xf numFmtId="44" fontId="16" fillId="0" borderId="0" applyFont="0" applyFill="0" applyBorder="0" applyAlignment="0" applyProtection="0"/>
    <xf numFmtId="0" fontId="16" fillId="0" borderId="0"/>
    <xf numFmtId="0" fontId="8" fillId="0" borderId="0"/>
    <xf numFmtId="0" fontId="7" fillId="0" borderId="0"/>
    <xf numFmtId="0" fontId="1" fillId="0" borderId="0"/>
    <xf numFmtId="0" fontId="61" fillId="0" borderId="12" applyNumberFormat="0" applyFill="0" applyBorder="0" applyAlignment="0" applyProtection="0"/>
    <xf numFmtId="0" fontId="87" fillId="0" borderId="13" applyNumberFormat="0" applyFill="0" applyBorder="0" applyAlignment="0" applyProtection="0"/>
    <xf numFmtId="0" fontId="88" fillId="0" borderId="14" applyNumberFormat="0" applyFill="0" applyBorder="0" applyAlignment="0" applyProtection="0"/>
    <xf numFmtId="0" fontId="36" fillId="0" borderId="0" applyNumberFormat="0" applyFill="0" applyBorder="0" applyAlignment="0" applyProtection="0"/>
  </cellStyleXfs>
  <cellXfs count="530">
    <xf numFmtId="0" fontId="0" fillId="0" borderId="0" xfId="0"/>
    <xf numFmtId="0" fontId="17" fillId="0" borderId="0" xfId="0" applyFont="1"/>
    <xf numFmtId="0" fontId="0" fillId="0" borderId="0" xfId="0" applyAlignment="1">
      <alignment horizontal="right"/>
    </xf>
    <xf numFmtId="0" fontId="0" fillId="0" borderId="0" xfId="0" applyAlignment="1">
      <alignment horizontal="center"/>
    </xf>
    <xf numFmtId="3" fontId="0" fillId="0" borderId="0" xfId="0" applyNumberFormat="1"/>
    <xf numFmtId="0" fontId="18" fillId="0" borderId="0" xfId="0" applyFont="1"/>
    <xf numFmtId="0" fontId="20" fillId="0" borderId="0" xfId="0" applyFont="1" applyAlignment="1">
      <alignment vertical="top"/>
    </xf>
    <xf numFmtId="0" fontId="21" fillId="0" borderId="0" xfId="0" applyFont="1"/>
    <xf numFmtId="0" fontId="22" fillId="0" borderId="0" xfId="0" applyFont="1" applyAlignment="1">
      <alignment horizontal="center" wrapText="1"/>
    </xf>
    <xf numFmtId="0" fontId="24" fillId="0" borderId="0" xfId="0" applyFont="1" applyAlignment="1">
      <alignment vertical="top"/>
    </xf>
    <xf numFmtId="0" fontId="25" fillId="0" borderId="0" xfId="0" applyFont="1" applyAlignment="1">
      <alignment horizontal="right"/>
    </xf>
    <xf numFmtId="0" fontId="27" fillId="0" borderId="0" xfId="0" applyFont="1"/>
    <xf numFmtId="0" fontId="18" fillId="0" borderId="0" xfId="0" applyFont="1" applyAlignment="1">
      <alignment horizontal="right"/>
    </xf>
    <xf numFmtId="0" fontId="25" fillId="0" borderId="0" xfId="0" applyFont="1"/>
    <xf numFmtId="0" fontId="25" fillId="0" borderId="0" xfId="0" applyFont="1" applyAlignment="1">
      <alignment horizontal="center"/>
    </xf>
    <xf numFmtId="0" fontId="28" fillId="0" borderId="0" xfId="0" applyFont="1"/>
    <xf numFmtId="0" fontId="16" fillId="0" borderId="0" xfId="0" applyFont="1"/>
    <xf numFmtId="3" fontId="0" fillId="0" borderId="0" xfId="0" applyNumberFormat="1" applyAlignment="1">
      <alignment horizontal="right"/>
    </xf>
    <xf numFmtId="165" fontId="0" fillId="0" borderId="0" xfId="2" applyNumberFormat="1" applyFont="1" applyFill="1" applyAlignment="1">
      <alignment horizontal="right"/>
    </xf>
    <xf numFmtId="0" fontId="17" fillId="0" borderId="0" xfId="0" applyFont="1" applyAlignment="1">
      <alignment horizontal="left"/>
    </xf>
    <xf numFmtId="3" fontId="18" fillId="0" borderId="0" xfId="0" applyNumberFormat="1" applyFont="1"/>
    <xf numFmtId="165" fontId="0" fillId="0" borderId="0" xfId="2" applyNumberFormat="1" applyFont="1" applyFill="1" applyBorder="1" applyAlignment="1">
      <alignment horizontal="right"/>
    </xf>
    <xf numFmtId="0" fontId="16" fillId="0" borderId="0" xfId="0" applyFont="1" applyAlignment="1">
      <alignment vertical="top"/>
    </xf>
    <xf numFmtId="0" fontId="22" fillId="0" borderId="0" xfId="0" applyFont="1" applyAlignment="1">
      <alignment vertical="top"/>
    </xf>
    <xf numFmtId="3" fontId="16" fillId="0" borderId="0" xfId="0" applyNumberFormat="1" applyFont="1"/>
    <xf numFmtId="0" fontId="16" fillId="0" borderId="0" xfId="0" applyFont="1" applyAlignment="1">
      <alignment horizontal="left" indent="1"/>
    </xf>
    <xf numFmtId="165" fontId="0" fillId="0" borderId="0" xfId="0" applyNumberFormat="1"/>
    <xf numFmtId="3" fontId="16" fillId="0" borderId="0" xfId="0" applyNumberFormat="1" applyFont="1" applyAlignment="1">
      <alignment horizontal="right"/>
    </xf>
    <xf numFmtId="0" fontId="29" fillId="0" borderId="0" xfId="0" applyFont="1" applyAlignment="1">
      <alignment vertical="top"/>
    </xf>
    <xf numFmtId="0" fontId="17" fillId="0" borderId="0" xfId="0" applyFont="1" applyAlignment="1">
      <alignment horizontal="center" wrapText="1"/>
    </xf>
    <xf numFmtId="3" fontId="16" fillId="0" borderId="0" xfId="0" applyNumberFormat="1" applyFont="1" applyAlignment="1">
      <alignment horizontal="center"/>
    </xf>
    <xf numFmtId="3" fontId="0" fillId="0" borderId="0" xfId="2" applyNumberFormat="1" applyFont="1" applyFill="1" applyBorder="1" applyAlignment="1">
      <alignment horizontal="right"/>
    </xf>
    <xf numFmtId="0" fontId="0" fillId="0" borderId="0" xfId="0" applyAlignment="1">
      <alignment vertical="top"/>
    </xf>
    <xf numFmtId="166" fontId="0" fillId="0" borderId="0" xfId="0" applyNumberFormat="1"/>
    <xf numFmtId="166" fontId="0" fillId="0" borderId="0" xfId="0" applyNumberFormat="1" applyAlignment="1">
      <alignment horizontal="right"/>
    </xf>
    <xf numFmtId="0" fontId="17" fillId="0" borderId="0" xfId="0" applyFont="1" applyAlignment="1">
      <alignment vertical="top"/>
    </xf>
    <xf numFmtId="0" fontId="17" fillId="0" borderId="0" xfId="0" applyFont="1" applyAlignment="1">
      <alignment horizontal="center"/>
    </xf>
    <xf numFmtId="0" fontId="33" fillId="0" borderId="0" xfId="0" applyFont="1"/>
    <xf numFmtId="0" fontId="17" fillId="0" borderId="0" xfId="0" applyFont="1" applyAlignment="1">
      <alignment horizontal="right" wrapText="1"/>
    </xf>
    <xf numFmtId="0" fontId="36" fillId="0" borderId="0" xfId="0" applyFont="1"/>
    <xf numFmtId="0" fontId="36" fillId="0" borderId="0" xfId="0" applyFont="1" applyAlignment="1">
      <alignment horizontal="center"/>
    </xf>
    <xf numFmtId="0" fontId="36" fillId="0" borderId="0" xfId="0" applyFont="1" applyAlignment="1">
      <alignment horizontal="right"/>
    </xf>
    <xf numFmtId="0" fontId="36" fillId="0" borderId="0" xfId="0" applyFont="1" applyAlignment="1">
      <alignment vertical="top"/>
    </xf>
    <xf numFmtId="0" fontId="17" fillId="0" borderId="0" xfId="0" applyFont="1" applyAlignment="1">
      <alignment horizontal="right"/>
    </xf>
    <xf numFmtId="0" fontId="37" fillId="0" borderId="0" xfId="0" applyFont="1" applyAlignment="1">
      <alignment vertical="top"/>
    </xf>
    <xf numFmtId="0" fontId="40" fillId="0" borderId="0" xfId="0" applyFont="1"/>
    <xf numFmtId="3" fontId="0" fillId="0" borderId="3" xfId="0" applyNumberFormat="1" applyBorder="1" applyAlignment="1">
      <alignment horizontal="right"/>
    </xf>
    <xf numFmtId="0" fontId="26" fillId="0" borderId="0" xfId="0" applyFont="1"/>
    <xf numFmtId="166" fontId="16" fillId="0" borderId="0" xfId="0" applyNumberFormat="1" applyFont="1" applyAlignment="1">
      <alignment horizontal="right" vertical="top"/>
    </xf>
    <xf numFmtId="169" fontId="0" fillId="0" borderId="0" xfId="0" applyNumberFormat="1" applyAlignment="1">
      <alignment horizontal="right"/>
    </xf>
    <xf numFmtId="0" fontId="16" fillId="0" borderId="0" xfId="0" applyFont="1" applyAlignment="1">
      <alignment horizontal="left" vertical="top"/>
    </xf>
    <xf numFmtId="0" fontId="43" fillId="0" borderId="0" xfId="0" applyFont="1"/>
    <xf numFmtId="0" fontId="18" fillId="0" borderId="0" xfId="13"/>
    <xf numFmtId="0" fontId="34" fillId="0" borderId="0" xfId="13" applyFont="1"/>
    <xf numFmtId="14" fontId="18" fillId="0" borderId="0" xfId="13" applyNumberFormat="1"/>
    <xf numFmtId="0" fontId="45" fillId="0" borderId="0" xfId="13" applyFont="1"/>
    <xf numFmtId="0" fontId="46" fillId="0" borderId="0" xfId="13" applyFont="1"/>
    <xf numFmtId="0" fontId="44" fillId="0" borderId="0" xfId="13" applyFont="1"/>
    <xf numFmtId="0" fontId="44" fillId="0" borderId="0" xfId="13" applyFont="1" applyAlignment="1">
      <alignment vertical="top" wrapText="1"/>
    </xf>
    <xf numFmtId="0" fontId="18" fillId="3" borderId="0" xfId="0" applyFont="1" applyFill="1"/>
    <xf numFmtId="0" fontId="18" fillId="3" borderId="0" xfId="0" applyFont="1" applyFill="1" applyAlignment="1">
      <alignment horizontal="right"/>
    </xf>
    <xf numFmtId="0" fontId="0" fillId="3" borderId="0" xfId="0" applyFill="1"/>
    <xf numFmtId="3" fontId="18" fillId="0" borderId="0" xfId="0" applyNumberFormat="1" applyFont="1" applyAlignment="1">
      <alignment horizontal="right"/>
    </xf>
    <xf numFmtId="169" fontId="18" fillId="0" borderId="0" xfId="0" applyNumberFormat="1" applyFont="1" applyAlignment="1">
      <alignment horizontal="right"/>
    </xf>
    <xf numFmtId="41" fontId="0" fillId="0" borderId="0" xfId="0" applyNumberFormat="1"/>
    <xf numFmtId="0" fontId="47" fillId="0" borderId="0" xfId="13" applyFont="1" applyAlignment="1">
      <alignment horizontal="center"/>
    </xf>
    <xf numFmtId="0" fontId="16" fillId="0" borderId="0" xfId="0" applyFont="1" applyAlignment="1">
      <alignment horizontal="left"/>
    </xf>
    <xf numFmtId="0" fontId="24" fillId="0" borderId="0" xfId="0" applyFont="1" applyAlignment="1">
      <alignment horizontal="right" vertical="top"/>
    </xf>
    <xf numFmtId="0" fontId="22" fillId="0" borderId="0" xfId="0" applyFont="1" applyAlignment="1">
      <alignment horizontal="right" wrapText="1"/>
    </xf>
    <xf numFmtId="0" fontId="16" fillId="0" borderId="0" xfId="0" applyFont="1" applyAlignment="1">
      <alignment horizontal="right"/>
    </xf>
    <xf numFmtId="0" fontId="0" fillId="0" borderId="0" xfId="0" applyAlignment="1">
      <alignment horizontal="right" wrapText="1"/>
    </xf>
    <xf numFmtId="0" fontId="40" fillId="0" borderId="0" xfId="0" applyFont="1" applyAlignment="1">
      <alignment horizontal="right" wrapText="1"/>
    </xf>
    <xf numFmtId="169" fontId="28" fillId="0" borderId="0" xfId="0" applyNumberFormat="1" applyFont="1" applyAlignment="1">
      <alignment horizontal="right"/>
    </xf>
    <xf numFmtId="0" fontId="22" fillId="0" borderId="0" xfId="0" quotePrefix="1" applyFont="1" applyAlignment="1">
      <alignment horizontal="right" wrapText="1"/>
    </xf>
    <xf numFmtId="166" fontId="16" fillId="0" borderId="0" xfId="0" applyNumberFormat="1" applyFont="1" applyAlignment="1">
      <alignment horizontal="right"/>
    </xf>
    <xf numFmtId="0" fontId="33" fillId="0" borderId="0" xfId="0" applyFont="1" applyAlignment="1">
      <alignment horizontal="right"/>
    </xf>
    <xf numFmtId="0" fontId="18" fillId="0" borderId="0" xfId="0" applyFont="1" applyAlignment="1">
      <alignment horizontal="left"/>
    </xf>
    <xf numFmtId="0" fontId="0" fillId="0" borderId="0" xfId="0" applyAlignment="1">
      <alignment horizontal="left"/>
    </xf>
    <xf numFmtId="0" fontId="24" fillId="0" borderId="0" xfId="0" applyFont="1" applyAlignment="1">
      <alignment horizontal="left" vertical="top"/>
    </xf>
    <xf numFmtId="0" fontId="24" fillId="0" borderId="0" xfId="0" applyFont="1" applyAlignment="1">
      <alignment horizontal="left"/>
    </xf>
    <xf numFmtId="0" fontId="31" fillId="0" borderId="0" xfId="0" applyFont="1" applyAlignment="1">
      <alignment horizontal="left" vertical="top"/>
    </xf>
    <xf numFmtId="0" fontId="22" fillId="0" borderId="0" xfId="0" applyFont="1" applyAlignment="1">
      <alignment horizontal="left" vertical="top"/>
    </xf>
    <xf numFmtId="0" fontId="28" fillId="0" borderId="0" xfId="0" applyFont="1" applyAlignment="1">
      <alignment horizontal="left"/>
    </xf>
    <xf numFmtId="0" fontId="16" fillId="2" borderId="0" xfId="13" quotePrefix="1" applyFont="1" applyFill="1"/>
    <xf numFmtId="0" fontId="49" fillId="0" borderId="0" xfId="0" applyFont="1"/>
    <xf numFmtId="164" fontId="16" fillId="0" borderId="0" xfId="2" applyNumberFormat="1" applyFont="1" applyFill="1" applyAlignment="1">
      <alignment horizontal="right"/>
    </xf>
    <xf numFmtId="164" fontId="16" fillId="0" borderId="0" xfId="2" applyNumberFormat="1" applyFont="1" applyFill="1" applyBorder="1" applyAlignment="1">
      <alignment horizontal="right"/>
    </xf>
    <xf numFmtId="0" fontId="35" fillId="0" borderId="0" xfId="0" applyFont="1"/>
    <xf numFmtId="43" fontId="0" fillId="0" borderId="0" xfId="0" applyNumberFormat="1"/>
    <xf numFmtId="0" fontId="19" fillId="3" borderId="0" xfId="0" applyFont="1" applyFill="1" applyAlignment="1">
      <alignment horizontal="left" vertical="top" wrapText="1"/>
    </xf>
    <xf numFmtId="41" fontId="0" fillId="0" borderId="0" xfId="0" applyNumberFormat="1" applyAlignment="1">
      <alignment horizontal="right"/>
    </xf>
    <xf numFmtId="0" fontId="18" fillId="0" borderId="0" xfId="16" applyAlignment="1">
      <alignment vertical="top" wrapText="1"/>
    </xf>
    <xf numFmtId="0" fontId="35" fillId="0" borderId="0" xfId="0" applyFont="1" applyAlignment="1">
      <alignment horizontal="right"/>
    </xf>
    <xf numFmtId="164" fontId="35" fillId="0" borderId="0" xfId="3" applyNumberFormat="1" applyFont="1" applyFill="1" applyBorder="1" applyProtection="1"/>
    <xf numFmtId="169" fontId="0" fillId="0" borderId="0" xfId="0" applyNumberFormat="1"/>
    <xf numFmtId="170" fontId="0" fillId="0" borderId="0" xfId="0" applyNumberFormat="1"/>
    <xf numFmtId="4" fontId="0" fillId="0" borderId="0" xfId="0" applyNumberFormat="1" applyAlignment="1">
      <alignment horizontal="right"/>
    </xf>
    <xf numFmtId="0" fontId="18" fillId="0" borderId="0" xfId="13" applyAlignment="1">
      <alignment horizontal="right"/>
    </xf>
    <xf numFmtId="169" fontId="35" fillId="0" borderId="0" xfId="0" applyNumberFormat="1" applyFont="1" applyAlignment="1">
      <alignment horizontal="right"/>
    </xf>
    <xf numFmtId="0" fontId="34" fillId="0" borderId="0" xfId="0" applyFont="1" applyAlignment="1">
      <alignment horizontal="center"/>
    </xf>
    <xf numFmtId="0" fontId="34" fillId="0" borderId="0" xfId="0" applyFont="1" applyAlignment="1">
      <alignment horizontal="center" wrapText="1"/>
    </xf>
    <xf numFmtId="0" fontId="34" fillId="0" borderId="0" xfId="0" applyFont="1"/>
    <xf numFmtId="0" fontId="35" fillId="0" borderId="0" xfId="0" applyFont="1" applyAlignment="1">
      <alignment horizontal="center"/>
    </xf>
    <xf numFmtId="0" fontId="16" fillId="0" borderId="0" xfId="13" applyFont="1"/>
    <xf numFmtId="4" fontId="0" fillId="0" borderId="0" xfId="0" applyNumberFormat="1"/>
    <xf numFmtId="3" fontId="22" fillId="0" borderId="0" xfId="0" applyNumberFormat="1" applyFont="1" applyAlignment="1">
      <alignment horizontal="right" wrapText="1"/>
    </xf>
    <xf numFmtId="3" fontId="0" fillId="2" borderId="0" xfId="0" applyNumberFormat="1" applyFill="1" applyAlignment="1">
      <alignment horizontal="right" vertical="center"/>
    </xf>
    <xf numFmtId="167" fontId="16" fillId="0" borderId="0" xfId="0" quotePrefix="1" applyNumberFormat="1" applyFont="1" applyAlignment="1">
      <alignment vertical="center"/>
    </xf>
    <xf numFmtId="167" fontId="0" fillId="0" borderId="0" xfId="0" applyNumberFormat="1"/>
    <xf numFmtId="3" fontId="17" fillId="0" borderId="0" xfId="0" applyNumberFormat="1" applyFont="1"/>
    <xf numFmtId="0" fontId="24" fillId="3" borderId="0" xfId="0" applyFont="1" applyFill="1" applyAlignment="1">
      <alignment vertical="center"/>
    </xf>
    <xf numFmtId="0" fontId="24" fillId="3" borderId="0" xfId="0" applyFont="1" applyFill="1" applyAlignment="1">
      <alignment horizontal="center" vertical="center"/>
    </xf>
    <xf numFmtId="0" fontId="33" fillId="3" borderId="0" xfId="0" applyFont="1" applyFill="1"/>
    <xf numFmtId="0" fontId="16" fillId="3" borderId="0" xfId="0" applyFont="1" applyFill="1"/>
    <xf numFmtId="0" fontId="0" fillId="4" borderId="0" xfId="0" applyFill="1"/>
    <xf numFmtId="0" fontId="16" fillId="3" borderId="0" xfId="0" quotePrefix="1" applyFont="1" applyFill="1"/>
    <xf numFmtId="0" fontId="42" fillId="0" borderId="0" xfId="0" applyFont="1" applyAlignment="1">
      <alignment horizontal="left"/>
    </xf>
    <xf numFmtId="0" fontId="16" fillId="0" borderId="0" xfId="0" applyFont="1" applyAlignment="1">
      <alignment horizontal="left" vertical="top" wrapText="1"/>
    </xf>
    <xf numFmtId="165" fontId="16" fillId="3" borderId="0" xfId="0" applyNumberFormat="1" applyFont="1" applyFill="1" applyAlignment="1">
      <alignment vertical="center" wrapText="1"/>
    </xf>
    <xf numFmtId="169" fontId="16" fillId="3" borderId="0" xfId="0" applyNumberFormat="1" applyFont="1" applyFill="1" applyAlignment="1">
      <alignment vertical="center" wrapText="1"/>
    </xf>
    <xf numFmtId="0" fontId="16" fillId="0" borderId="0" xfId="0" applyFont="1" applyAlignment="1">
      <alignment vertical="top" wrapText="1"/>
    </xf>
    <xf numFmtId="0" fontId="33" fillId="3" borderId="0" xfId="0" applyFont="1" applyFill="1" applyAlignment="1">
      <alignment vertical="center"/>
    </xf>
    <xf numFmtId="0" fontId="55" fillId="0" borderId="0" xfId="0" applyFont="1" applyAlignment="1">
      <alignment vertical="center"/>
    </xf>
    <xf numFmtId="0" fontId="16" fillId="0" borderId="0" xfId="0" applyFont="1" applyAlignment="1">
      <alignment horizontal="center"/>
    </xf>
    <xf numFmtId="0" fontId="16" fillId="0" borderId="0" xfId="0" applyFont="1" applyAlignment="1">
      <alignment vertical="center" wrapText="1"/>
    </xf>
    <xf numFmtId="3" fontId="17" fillId="0" borderId="0" xfId="0" applyNumberFormat="1" applyFont="1" applyAlignment="1">
      <alignment horizontal="center"/>
    </xf>
    <xf numFmtId="166" fontId="17" fillId="0" borderId="0" xfId="0" applyNumberFormat="1" applyFont="1" applyAlignment="1">
      <alignment horizontal="center" wrapText="1"/>
    </xf>
    <xf numFmtId="0" fontId="17" fillId="0" borderId="0" xfId="0" applyFont="1" applyAlignment="1">
      <alignment horizontal="left" vertical="top"/>
    </xf>
    <xf numFmtId="3" fontId="17" fillId="0" borderId="0" xfId="0" applyNumberFormat="1" applyFont="1" applyAlignment="1">
      <alignment horizontal="center" wrapText="1"/>
    </xf>
    <xf numFmtId="166" fontId="17" fillId="0" borderId="0" xfId="0" applyNumberFormat="1" applyFont="1" applyAlignment="1">
      <alignment horizontal="center"/>
    </xf>
    <xf numFmtId="3" fontId="16" fillId="0" borderId="5" xfId="0" applyNumberFormat="1" applyFont="1" applyBorder="1" applyAlignment="1">
      <alignment horizontal="right"/>
    </xf>
    <xf numFmtId="165" fontId="0" fillId="0" borderId="0" xfId="2" applyNumberFormat="1" applyFont="1" applyFill="1" applyBorder="1" applyAlignment="1">
      <alignment horizontal="left"/>
    </xf>
    <xf numFmtId="41" fontId="16" fillId="0" borderId="0" xfId="0" applyNumberFormat="1" applyFont="1" applyAlignment="1">
      <alignment horizontal="right"/>
    </xf>
    <xf numFmtId="0" fontId="0" fillId="0" borderId="0" xfId="0" quotePrefix="1"/>
    <xf numFmtId="3" fontId="0" fillId="0" borderId="0" xfId="0" quotePrefix="1" applyNumberFormat="1"/>
    <xf numFmtId="169" fontId="0" fillId="3" borderId="0" xfId="0" applyNumberFormat="1" applyFill="1"/>
    <xf numFmtId="0" fontId="54" fillId="3" borderId="0" xfId="0" applyFont="1" applyFill="1" applyAlignment="1">
      <alignment horizontal="left"/>
    </xf>
    <xf numFmtId="164" fontId="0" fillId="0" borderId="0" xfId="0" applyNumberFormat="1"/>
    <xf numFmtId="0" fontId="16" fillId="0" borderId="0" xfId="0" quotePrefix="1" applyFont="1"/>
    <xf numFmtId="0" fontId="64" fillId="0" borderId="0" xfId="0" applyFont="1"/>
    <xf numFmtId="3" fontId="64" fillId="0" borderId="0" xfId="0" applyNumberFormat="1" applyFont="1"/>
    <xf numFmtId="0" fontId="65" fillId="0" borderId="0" xfId="0" applyFont="1" applyAlignment="1">
      <alignment vertical="top"/>
    </xf>
    <xf numFmtId="0" fontId="52" fillId="0" borderId="0" xfId="22"/>
    <xf numFmtId="167" fontId="16" fillId="0" borderId="0" xfId="22" quotePrefix="1" applyNumberFormat="1" applyFont="1" applyAlignment="1">
      <alignment vertical="center"/>
    </xf>
    <xf numFmtId="0" fontId="52" fillId="0" borderId="0" xfId="22" applyAlignment="1">
      <alignment horizontal="left"/>
    </xf>
    <xf numFmtId="0" fontId="16" fillId="0" borderId="0" xfId="22" applyFont="1" applyAlignment="1">
      <alignment horizontal="left"/>
    </xf>
    <xf numFmtId="0" fontId="16" fillId="0" borderId="0" xfId="22" applyFont="1"/>
    <xf numFmtId="0" fontId="17" fillId="0" borderId="0" xfId="22" applyFont="1" applyAlignment="1">
      <alignment horizontal="left"/>
    </xf>
    <xf numFmtId="167" fontId="52" fillId="0" borderId="0" xfId="22" applyNumberFormat="1"/>
    <xf numFmtId="41" fontId="18" fillId="0" borderId="0" xfId="0" applyNumberFormat="1" applyFont="1"/>
    <xf numFmtId="0" fontId="52" fillId="6" borderId="0" xfId="22" applyFill="1"/>
    <xf numFmtId="0" fontId="51" fillId="0" borderId="0" xfId="22" applyFont="1" applyAlignment="1">
      <alignment horizontal="left"/>
    </xf>
    <xf numFmtId="0" fontId="17" fillId="0" borderId="0" xfId="22" applyFont="1"/>
    <xf numFmtId="167" fontId="17" fillId="0" borderId="0" xfId="22" quotePrefix="1" applyNumberFormat="1" applyFont="1" applyAlignment="1">
      <alignment vertical="center"/>
    </xf>
    <xf numFmtId="0" fontId="52" fillId="9" borderId="0" xfId="22" applyFill="1"/>
    <xf numFmtId="167" fontId="17" fillId="0" borderId="0" xfId="22" applyNumberFormat="1" applyFont="1"/>
    <xf numFmtId="0" fontId="16" fillId="10" borderId="0" xfId="22" applyFont="1" applyFill="1"/>
    <xf numFmtId="165" fontId="16" fillId="0" borderId="0" xfId="0" applyNumberFormat="1" applyFont="1"/>
    <xf numFmtId="0" fontId="34" fillId="0" borderId="0" xfId="0" quotePrefix="1" applyFont="1" applyAlignment="1">
      <alignment horizontal="center" wrapText="1"/>
    </xf>
    <xf numFmtId="41" fontId="16" fillId="0" borderId="0" xfId="0" applyNumberFormat="1" applyFont="1"/>
    <xf numFmtId="166" fontId="16" fillId="0" borderId="0" xfId="0" applyNumberFormat="1" applyFont="1"/>
    <xf numFmtId="168" fontId="0" fillId="0" borderId="0" xfId="0" applyNumberFormat="1"/>
    <xf numFmtId="167" fontId="17" fillId="11" borderId="0" xfId="22" applyNumberFormat="1" applyFont="1" applyFill="1"/>
    <xf numFmtId="167" fontId="52" fillId="11" borderId="0" xfId="22" applyNumberFormat="1" applyFill="1"/>
    <xf numFmtId="167" fontId="16" fillId="11" borderId="0" xfId="22" quotePrefix="1" applyNumberFormat="1" applyFont="1" applyFill="1" applyAlignment="1">
      <alignment vertical="center"/>
    </xf>
    <xf numFmtId="0" fontId="52" fillId="11" borderId="0" xfId="22" applyFill="1"/>
    <xf numFmtId="0" fontId="21" fillId="0" borderId="0" xfId="22" applyFont="1" applyAlignment="1">
      <alignment horizontal="left"/>
    </xf>
    <xf numFmtId="1" fontId="17" fillId="11" borderId="0" xfId="22" applyNumberFormat="1" applyFont="1" applyFill="1"/>
    <xf numFmtId="167" fontId="52" fillId="8" borderId="0" xfId="22" applyNumberFormat="1" applyFill="1"/>
    <xf numFmtId="0" fontId="0" fillId="0" borderId="0" xfId="0" applyAlignment="1">
      <alignment vertical="top" wrapText="1"/>
    </xf>
    <xf numFmtId="169" fontId="35" fillId="0" borderId="0" xfId="0" applyNumberFormat="1" applyFont="1" applyAlignment="1">
      <alignment horizontal="center"/>
    </xf>
    <xf numFmtId="167" fontId="16" fillId="7" borderId="0" xfId="22" quotePrefix="1" applyNumberFormat="1" applyFont="1" applyFill="1" applyAlignment="1">
      <alignment vertical="center"/>
    </xf>
    <xf numFmtId="164" fontId="0" fillId="0" borderId="0" xfId="0" applyNumberFormat="1" applyAlignment="1">
      <alignment vertical="top" wrapText="1"/>
    </xf>
    <xf numFmtId="0" fontId="64" fillId="0" borderId="0" xfId="0" applyFont="1" applyAlignment="1">
      <alignment vertical="top" wrapText="1"/>
    </xf>
    <xf numFmtId="0" fontId="38" fillId="0" borderId="0" xfId="0" applyFont="1" applyAlignment="1">
      <alignment horizontal="right"/>
    </xf>
    <xf numFmtId="0" fontId="18" fillId="0" borderId="0" xfId="0" applyFont="1" applyAlignment="1">
      <alignment horizontal="center"/>
    </xf>
    <xf numFmtId="0" fontId="39" fillId="0" borderId="0" xfId="0" applyFont="1" applyAlignment="1">
      <alignment horizontal="right"/>
    </xf>
    <xf numFmtId="164" fontId="16" fillId="0" borderId="0" xfId="0" applyNumberFormat="1" applyFont="1" applyAlignment="1">
      <alignment horizontal="right"/>
    </xf>
    <xf numFmtId="167" fontId="16" fillId="0" borderId="0" xfId="22" applyNumberFormat="1" applyFont="1"/>
    <xf numFmtId="0" fontId="16" fillId="3" borderId="0" xfId="0" applyFont="1" applyFill="1" applyAlignment="1">
      <alignment vertical="center" wrapText="1"/>
    </xf>
    <xf numFmtId="0" fontId="48" fillId="0" borderId="0" xfId="0" applyFont="1" applyAlignment="1">
      <alignment vertical="top"/>
    </xf>
    <xf numFmtId="165" fontId="16" fillId="0" borderId="0" xfId="2" applyNumberFormat="1" applyFont="1"/>
    <xf numFmtId="41" fontId="28" fillId="0" borderId="5" xfId="0" applyNumberFormat="1" applyFont="1" applyBorder="1"/>
    <xf numFmtId="164" fontId="28" fillId="0" borderId="5" xfId="0" applyNumberFormat="1" applyFont="1" applyBorder="1"/>
    <xf numFmtId="0" fontId="42" fillId="0" borderId="0" xfId="0" applyFont="1"/>
    <xf numFmtId="0" fontId="26" fillId="0" borderId="0" xfId="0" applyFont="1" applyAlignment="1">
      <alignment horizontal="left"/>
    </xf>
    <xf numFmtId="169" fontId="16" fillId="0" borderId="0" xfId="0" applyNumberFormat="1" applyFont="1"/>
    <xf numFmtId="0" fontId="59" fillId="0" borderId="0" xfId="0" applyFont="1" applyAlignment="1">
      <alignment vertical="top"/>
    </xf>
    <xf numFmtId="0" fontId="59" fillId="0" borderId="0" xfId="0" applyFont="1"/>
    <xf numFmtId="0" fontId="60" fillId="0" borderId="0" xfId="0" applyFont="1" applyAlignment="1">
      <alignment vertical="top"/>
    </xf>
    <xf numFmtId="3" fontId="60" fillId="0" borderId="0" xfId="0" applyNumberFormat="1" applyFont="1" applyAlignment="1">
      <alignment horizontal="center"/>
    </xf>
    <xf numFmtId="169" fontId="63" fillId="0" borderId="0" xfId="0" applyNumberFormat="1" applyFont="1"/>
    <xf numFmtId="169" fontId="59" fillId="0" borderId="0" xfId="0" applyNumberFormat="1" applyFont="1" applyAlignment="1">
      <alignment horizontal="right"/>
    </xf>
    <xf numFmtId="169" fontId="16" fillId="0" borderId="0" xfId="0" applyNumberFormat="1" applyFont="1" applyAlignment="1">
      <alignment horizontal="right"/>
    </xf>
    <xf numFmtId="169" fontId="59" fillId="0" borderId="0" xfId="0" applyNumberFormat="1" applyFont="1"/>
    <xf numFmtId="169" fontId="59" fillId="0" borderId="5" xfId="0" applyNumberFormat="1" applyFont="1" applyBorder="1" applyAlignment="1">
      <alignment horizontal="right"/>
    </xf>
    <xf numFmtId="3" fontId="59" fillId="0" borderId="0" xfId="0" applyNumberFormat="1" applyFont="1" applyAlignment="1">
      <alignment horizontal="right"/>
    </xf>
    <xf numFmtId="0" fontId="40" fillId="0" borderId="0" xfId="0" applyFont="1" applyAlignment="1">
      <alignment wrapText="1"/>
    </xf>
    <xf numFmtId="0" fontId="0" fillId="0" borderId="0" xfId="0" applyAlignment="1">
      <alignment wrapText="1"/>
    </xf>
    <xf numFmtId="0" fontId="56" fillId="0" borderId="0" xfId="0" applyFont="1" applyAlignment="1">
      <alignment horizontal="left" vertical="top"/>
    </xf>
    <xf numFmtId="0" fontId="29" fillId="0" borderId="0" xfId="0" applyFont="1" applyAlignment="1">
      <alignment horizontal="right" vertical="top"/>
    </xf>
    <xf numFmtId="0" fontId="18" fillId="0" borderId="0" xfId="0" applyFont="1" applyAlignment="1">
      <alignment horizontal="left" vertical="top" wrapText="1"/>
    </xf>
    <xf numFmtId="0" fontId="18" fillId="0" borderId="0" xfId="0" applyFont="1" applyAlignment="1">
      <alignment horizontal="right" vertical="top" wrapText="1"/>
    </xf>
    <xf numFmtId="0" fontId="18" fillId="0" borderId="0" xfId="0" applyFont="1" applyAlignment="1">
      <alignment horizontal="right" vertical="top"/>
    </xf>
    <xf numFmtId="0" fontId="17" fillId="0" borderId="0" xfId="0" applyFont="1" applyAlignment="1">
      <alignment horizontal="right" vertical="top"/>
    </xf>
    <xf numFmtId="0" fontId="16" fillId="0" borderId="0" xfId="0" applyFont="1" applyAlignment="1">
      <alignment horizontal="right" vertical="top" wrapText="1"/>
    </xf>
    <xf numFmtId="0" fontId="0" fillId="0" borderId="0" xfId="0" applyAlignment="1">
      <alignment horizontal="right" vertical="top" wrapText="1"/>
    </xf>
    <xf numFmtId="166" fontId="18" fillId="0" borderId="0" xfId="0" applyNumberFormat="1" applyFont="1" applyAlignment="1">
      <alignment horizontal="right" wrapText="1"/>
    </xf>
    <xf numFmtId="166" fontId="18" fillId="0" borderId="2" xfId="0" applyNumberFormat="1" applyFont="1" applyBorder="1" applyAlignment="1">
      <alignment horizontal="right" wrapText="1"/>
    </xf>
    <xf numFmtId="166" fontId="18" fillId="0" borderId="5" xfId="0" applyNumberFormat="1" applyFont="1" applyBorder="1" applyAlignment="1">
      <alignment horizontal="right" wrapText="1"/>
    </xf>
    <xf numFmtId="0" fontId="17" fillId="12" borderId="0" xfId="22" applyFont="1" applyFill="1"/>
    <xf numFmtId="41" fontId="42" fillId="0" borderId="0" xfId="0" applyNumberFormat="1" applyFont="1" applyAlignment="1">
      <alignment horizontal="right"/>
    </xf>
    <xf numFmtId="0" fontId="41" fillId="0" borderId="0" xfId="0" applyFont="1" applyAlignment="1">
      <alignment horizontal="left"/>
    </xf>
    <xf numFmtId="41" fontId="41" fillId="0" borderId="0" xfId="0" applyNumberFormat="1" applyFont="1"/>
    <xf numFmtId="41" fontId="18" fillId="0" borderId="5" xfId="0" applyNumberFormat="1" applyFont="1" applyBorder="1" applyAlignment="1">
      <alignment horizontal="right"/>
    </xf>
    <xf numFmtId="0" fontId="16" fillId="0" borderId="0" xfId="0" applyFont="1" applyAlignment="1">
      <alignment horizontal="left" wrapText="1"/>
    </xf>
    <xf numFmtId="0" fontId="47" fillId="0" borderId="0" xfId="13" applyFont="1" applyAlignment="1">
      <alignment vertical="center" wrapText="1"/>
    </xf>
    <xf numFmtId="0" fontId="18" fillId="0" borderId="0" xfId="0" applyFont="1" applyAlignment="1">
      <alignment horizontal="left" wrapText="1"/>
    </xf>
    <xf numFmtId="164" fontId="16" fillId="0" borderId="0" xfId="0" applyNumberFormat="1" applyFont="1"/>
    <xf numFmtId="0" fontId="21" fillId="9" borderId="0" xfId="22" applyFont="1" applyFill="1"/>
    <xf numFmtId="166" fontId="66" fillId="0" borderId="0" xfId="0" applyNumberFormat="1" applyFont="1" applyAlignment="1">
      <alignment horizontal="right" shrinkToFit="1"/>
    </xf>
    <xf numFmtId="0" fontId="67" fillId="0" borderId="0" xfId="24" applyFont="1"/>
    <xf numFmtId="3" fontId="67" fillId="0" borderId="0" xfId="24" applyNumberFormat="1" applyFont="1"/>
    <xf numFmtId="0" fontId="13" fillId="0" borderId="0" xfId="24" applyFont="1"/>
    <xf numFmtId="173" fontId="13" fillId="0" borderId="0" xfId="24" applyNumberFormat="1" applyFont="1" applyAlignment="1">
      <alignment horizontal="center"/>
    </xf>
    <xf numFmtId="3" fontId="13" fillId="0" borderId="0" xfId="24" applyNumberFormat="1" applyFont="1" applyAlignment="1">
      <alignment horizontal="center"/>
    </xf>
    <xf numFmtId="3" fontId="13" fillId="0" borderId="0" xfId="24" applyNumberFormat="1" applyFont="1"/>
    <xf numFmtId="3" fontId="70" fillId="0" borderId="0" xfId="0" applyNumberFormat="1" applyFont="1"/>
    <xf numFmtId="0" fontId="67" fillId="0" borderId="0" xfId="24" applyFont="1" applyAlignment="1">
      <alignment horizontal="center"/>
    </xf>
    <xf numFmtId="0" fontId="13" fillId="0" borderId="0" xfId="24" applyFont="1" applyAlignment="1">
      <alignment horizontal="center"/>
    </xf>
    <xf numFmtId="0" fontId="70" fillId="0" borderId="0" xfId="0" applyFont="1" applyAlignment="1">
      <alignment horizontal="center"/>
    </xf>
    <xf numFmtId="0" fontId="12" fillId="0" borderId="0" xfId="24" applyFont="1" applyAlignment="1">
      <alignment horizontal="left"/>
    </xf>
    <xf numFmtId="169" fontId="0" fillId="5" borderId="0" xfId="0" applyNumberFormat="1" applyFill="1" applyAlignment="1">
      <alignment horizontal="right"/>
    </xf>
    <xf numFmtId="169" fontId="0" fillId="3" borderId="0" xfId="0" applyNumberFormat="1" applyFill="1" applyAlignment="1">
      <alignment horizontal="right"/>
    </xf>
    <xf numFmtId="169" fontId="0" fillId="3" borderId="0" xfId="0" applyNumberFormat="1" applyFill="1" applyAlignment="1">
      <alignment horizontal="center"/>
    </xf>
    <xf numFmtId="0" fontId="36" fillId="0" borderId="0" xfId="12" applyFont="1" applyAlignment="1">
      <alignment vertical="top"/>
    </xf>
    <xf numFmtId="49" fontId="71" fillId="0" borderId="0" xfId="12" applyNumberFormat="1" applyFont="1" applyAlignment="1">
      <alignment horizontal="right"/>
    </xf>
    <xf numFmtId="0" fontId="16" fillId="0" borderId="0" xfId="26"/>
    <xf numFmtId="0" fontId="16" fillId="0" borderId="0" xfId="12"/>
    <xf numFmtId="0" fontId="17" fillId="0" borderId="0" xfId="12" applyFont="1"/>
    <xf numFmtId="0" fontId="72" fillId="0" borderId="0" xfId="12" applyFont="1" applyAlignment="1">
      <alignment vertical="top"/>
    </xf>
    <xf numFmtId="0" fontId="17" fillId="0" borderId="0" xfId="12" applyFont="1" applyAlignment="1">
      <alignment vertical="center"/>
    </xf>
    <xf numFmtId="0" fontId="73" fillId="0" borderId="0" xfId="12" applyFont="1" applyAlignment="1">
      <alignment vertical="center"/>
    </xf>
    <xf numFmtId="0" fontId="62" fillId="0" borderId="0" xfId="12" applyFont="1" applyAlignment="1">
      <alignment vertical="center" wrapText="1"/>
    </xf>
    <xf numFmtId="0" fontId="16" fillId="0" borderId="0" xfId="12" applyAlignment="1">
      <alignment vertical="center" wrapText="1"/>
    </xf>
    <xf numFmtId="0" fontId="74" fillId="0" borderId="0" xfId="12" applyFont="1"/>
    <xf numFmtId="0" fontId="62" fillId="0" borderId="0" xfId="12" applyFont="1" applyAlignment="1">
      <alignment vertical="center"/>
    </xf>
    <xf numFmtId="0" fontId="24" fillId="0" borderId="0" xfId="12" applyFont="1" applyAlignment="1">
      <alignment horizontal="left" vertical="top"/>
    </xf>
    <xf numFmtId="0" fontId="19" fillId="0" borderId="0" xfId="12" applyFont="1" applyAlignment="1">
      <alignment horizontal="left" vertical="center"/>
    </xf>
    <xf numFmtId="0" fontId="16" fillId="0" borderId="0" xfId="12" applyAlignment="1">
      <alignment vertical="center"/>
    </xf>
    <xf numFmtId="0" fontId="16" fillId="0" borderId="0" xfId="26" applyAlignment="1">
      <alignment wrapText="1"/>
    </xf>
    <xf numFmtId="0" fontId="73" fillId="0" borderId="0" xfId="12" applyFont="1" applyAlignment="1">
      <alignment horizontal="left" vertical="top" wrapText="1"/>
    </xf>
    <xf numFmtId="0" fontId="62" fillId="0" borderId="0" xfId="12" applyFont="1" applyAlignment="1">
      <alignment horizontal="left" vertical="top" wrapText="1"/>
    </xf>
    <xf numFmtId="0" fontId="16" fillId="0" borderId="0" xfId="12" applyAlignment="1">
      <alignment horizontal="left" vertical="top"/>
    </xf>
    <xf numFmtId="0" fontId="73" fillId="0" borderId="0" xfId="12" applyFont="1" applyAlignment="1">
      <alignment horizontal="left" vertical="top"/>
    </xf>
    <xf numFmtId="0" fontId="75" fillId="0" borderId="0" xfId="12" applyFont="1" applyAlignment="1">
      <alignment vertical="center"/>
    </xf>
    <xf numFmtId="0" fontId="78" fillId="0" borderId="0" xfId="12" applyFont="1" applyAlignment="1">
      <alignment vertical="center"/>
    </xf>
    <xf numFmtId="0" fontId="77" fillId="0" borderId="0" xfId="12" applyFont="1" applyAlignment="1">
      <alignment vertical="center"/>
    </xf>
    <xf numFmtId="0" fontId="17" fillId="0" borderId="0" xfId="12" applyFont="1" applyAlignment="1">
      <alignment horizontal="left" vertical="center"/>
    </xf>
    <xf numFmtId="0" fontId="16" fillId="0" borderId="0" xfId="22" quotePrefix="1" applyFont="1" applyAlignment="1">
      <alignment horizontal="left"/>
    </xf>
    <xf numFmtId="0" fontId="81" fillId="0" borderId="0" xfId="24" applyFont="1" applyAlignment="1">
      <alignment horizontal="left"/>
    </xf>
    <xf numFmtId="0" fontId="11" fillId="0" borderId="0" xfId="24" applyFont="1"/>
    <xf numFmtId="0" fontId="24" fillId="3" borderId="0" xfId="0" applyFont="1" applyFill="1" applyAlignment="1">
      <alignment horizontal="left"/>
    </xf>
    <xf numFmtId="0" fontId="18" fillId="0" borderId="0" xfId="0" applyFont="1" applyAlignment="1">
      <alignment wrapText="1"/>
    </xf>
    <xf numFmtId="3" fontId="9" fillId="0" borderId="0" xfId="24" applyNumberFormat="1" applyFont="1"/>
    <xf numFmtId="3" fontId="81" fillId="0" borderId="0" xfId="24" applyNumberFormat="1" applyFont="1"/>
    <xf numFmtId="0" fontId="9" fillId="0" borderId="0" xfId="24" applyFont="1" applyAlignment="1">
      <alignment horizontal="left"/>
    </xf>
    <xf numFmtId="0" fontId="20" fillId="0" borderId="0" xfId="0" applyFont="1"/>
    <xf numFmtId="0" fontId="47" fillId="0" borderId="0" xfId="13" applyFont="1" applyAlignment="1">
      <alignment vertical="center"/>
    </xf>
    <xf numFmtId="0" fontId="34" fillId="0" borderId="2" xfId="0" applyFont="1" applyBorder="1"/>
    <xf numFmtId="0" fontId="35" fillId="0" borderId="2" xfId="0" applyFont="1" applyBorder="1" applyAlignment="1">
      <alignment horizontal="center"/>
    </xf>
    <xf numFmtId="0" fontId="35" fillId="0" borderId="2" xfId="0" applyFont="1" applyBorder="1" applyAlignment="1">
      <alignment horizontal="right"/>
    </xf>
    <xf numFmtId="0" fontId="20" fillId="0" borderId="2" xfId="0" applyFont="1" applyBorder="1" applyAlignment="1">
      <alignment vertical="top"/>
    </xf>
    <xf numFmtId="0" fontId="35" fillId="0" borderId="8" xfId="0" applyFont="1" applyBorder="1" applyAlignment="1">
      <alignment horizontal="center"/>
    </xf>
    <xf numFmtId="165" fontId="35" fillId="0" borderId="8" xfId="0" applyNumberFormat="1" applyFont="1" applyBorder="1" applyAlignment="1">
      <alignment horizontal="right"/>
    </xf>
    <xf numFmtId="0" fontId="35" fillId="0" borderId="8" xfId="0" applyFont="1" applyBorder="1" applyAlignment="1">
      <alignment horizontal="right"/>
    </xf>
    <xf numFmtId="0" fontId="6" fillId="0" borderId="0" xfId="24" applyFont="1" applyAlignment="1">
      <alignment horizontal="left"/>
    </xf>
    <xf numFmtId="0" fontId="38" fillId="0" borderId="0" xfId="0" applyFont="1" applyAlignment="1">
      <alignment horizontal="left"/>
    </xf>
    <xf numFmtId="3" fontId="5" fillId="0" borderId="0" xfId="24" applyNumberFormat="1" applyFont="1"/>
    <xf numFmtId="0" fontId="9" fillId="0" borderId="0" xfId="24" applyFont="1"/>
    <xf numFmtId="0" fontId="10" fillId="0" borderId="0" xfId="24" applyFont="1"/>
    <xf numFmtId="3" fontId="13" fillId="0" borderId="3" xfId="24" applyNumberFormat="1" applyFont="1" applyBorder="1"/>
    <xf numFmtId="0" fontId="68" fillId="0" borderId="0" xfId="24" applyFont="1"/>
    <xf numFmtId="3" fontId="68" fillId="0" borderId="0" xfId="24" applyNumberFormat="1" applyFont="1" applyAlignment="1">
      <alignment horizontal="right"/>
    </xf>
    <xf numFmtId="0" fontId="69" fillId="0" borderId="0" xfId="0" applyFont="1"/>
    <xf numFmtId="3" fontId="13" fillId="0" borderId="5" xfId="24" applyNumberFormat="1" applyFont="1" applyBorder="1"/>
    <xf numFmtId="0" fontId="0" fillId="0" borderId="0" xfId="0" applyAlignment="1">
      <alignment horizontal="left" vertical="top" wrapText="1"/>
    </xf>
    <xf numFmtId="3" fontId="60" fillId="0" borderId="0" xfId="0" applyNumberFormat="1" applyFont="1" applyAlignment="1">
      <alignment horizontal="center" wrapText="1"/>
    </xf>
    <xf numFmtId="0" fontId="82" fillId="0" borderId="0" xfId="0" applyFont="1" applyAlignment="1">
      <alignment horizontal="center"/>
    </xf>
    <xf numFmtId="0" fontId="16" fillId="0" borderId="0" xfId="12" applyAlignment="1">
      <alignment horizontal="left" vertical="top" wrapText="1"/>
    </xf>
    <xf numFmtId="0" fontId="38" fillId="0" borderId="0" xfId="12" applyFont="1" applyAlignment="1">
      <alignment horizontal="left" vertical="top" wrapText="1"/>
    </xf>
    <xf numFmtId="0" fontId="75" fillId="0" borderId="0" xfId="12" applyFont="1" applyAlignment="1">
      <alignment horizontal="left" vertical="top" wrapText="1"/>
    </xf>
    <xf numFmtId="0" fontId="16" fillId="0" borderId="0" xfId="12" applyAlignment="1">
      <alignment wrapText="1"/>
    </xf>
    <xf numFmtId="0" fontId="75" fillId="0" borderId="0" xfId="12" applyFont="1" applyAlignment="1">
      <alignment horizontal="left" vertical="top"/>
    </xf>
    <xf numFmtId="0" fontId="18" fillId="0" borderId="0" xfId="0" applyFont="1" applyAlignment="1">
      <alignment vertical="top" wrapText="1"/>
    </xf>
    <xf numFmtId="0" fontId="3" fillId="0" borderId="0" xfId="24" applyFont="1"/>
    <xf numFmtId="169" fontId="0" fillId="14" borderId="0" xfId="0" applyNumberFormat="1" applyFill="1" applyAlignment="1">
      <alignment horizontal="right"/>
    </xf>
    <xf numFmtId="0" fontId="73" fillId="0" borderId="0" xfId="12" applyFont="1"/>
    <xf numFmtId="0" fontId="31" fillId="0" borderId="0" xfId="0" applyFont="1" applyAlignment="1">
      <alignment horizontal="left"/>
    </xf>
    <xf numFmtId="0" fontId="32" fillId="0" borderId="0" xfId="0" applyFont="1"/>
    <xf numFmtId="3" fontId="32" fillId="0" borderId="0" xfId="0" applyNumberFormat="1" applyFont="1"/>
    <xf numFmtId="3" fontId="32" fillId="0" borderId="0" xfId="0" applyNumberFormat="1" applyFont="1" applyAlignment="1">
      <alignment horizontal="right"/>
    </xf>
    <xf numFmtId="0" fontId="32" fillId="0" borderId="0" xfId="0" applyFont="1" applyAlignment="1">
      <alignment horizontal="left"/>
    </xf>
    <xf numFmtId="6" fontId="28" fillId="0" borderId="0" xfId="0" applyNumberFormat="1" applyFont="1" applyAlignment="1">
      <alignment horizontal="left"/>
    </xf>
    <xf numFmtId="169" fontId="16" fillId="0" borderId="0" xfId="0" quotePrefix="1" applyNumberFormat="1" applyFont="1" applyAlignment="1">
      <alignment horizontal="right"/>
    </xf>
    <xf numFmtId="0" fontId="28" fillId="0" borderId="0" xfId="0" applyFont="1" applyAlignment="1">
      <alignment horizontal="center"/>
    </xf>
    <xf numFmtId="0" fontId="28" fillId="0" borderId="0" xfId="0" applyFont="1" applyAlignment="1">
      <alignment horizontal="right"/>
    </xf>
    <xf numFmtId="0" fontId="32" fillId="0" borderId="0" xfId="0" applyFont="1" applyAlignment="1">
      <alignment horizontal="center"/>
    </xf>
    <xf numFmtId="0" fontId="32" fillId="0" borderId="0" xfId="0" applyFont="1" applyAlignment="1">
      <alignment horizontal="right"/>
    </xf>
    <xf numFmtId="0" fontId="17" fillId="0" borderId="0" xfId="0" quotePrefix="1" applyFont="1" applyAlignment="1">
      <alignment horizontal="right"/>
    </xf>
    <xf numFmtId="169" fontId="16" fillId="0" borderId="5" xfId="0" applyNumberFormat="1" applyFont="1" applyBorder="1" applyAlignment="1">
      <alignment horizontal="right"/>
    </xf>
    <xf numFmtId="0" fontId="0" fillId="0" borderId="0" xfId="0" applyAlignment="1">
      <alignment horizontal="right" vertical="top"/>
    </xf>
    <xf numFmtId="0" fontId="19" fillId="0" borderId="0" xfId="0" applyFont="1" applyAlignment="1">
      <alignment horizontal="left"/>
    </xf>
    <xf numFmtId="3" fontId="16" fillId="0" borderId="0" xfId="0" applyNumberFormat="1" applyFont="1" applyAlignment="1">
      <alignment horizontal="right" wrapText="1"/>
    </xf>
    <xf numFmtId="2" fontId="16" fillId="0" borderId="0" xfId="0" applyNumberFormat="1" applyFont="1" applyAlignment="1">
      <alignment horizontal="right" wrapText="1"/>
    </xf>
    <xf numFmtId="0" fontId="24" fillId="0" borderId="2" xfId="0" applyFont="1" applyBorder="1" applyAlignment="1">
      <alignment horizontal="right" vertical="top"/>
    </xf>
    <xf numFmtId="172" fontId="28" fillId="0" borderId="0" xfId="0" applyNumberFormat="1" applyFont="1" applyAlignment="1">
      <alignment horizontal="right"/>
    </xf>
    <xf numFmtId="169" fontId="28" fillId="0" borderId="6" xfId="0" applyNumberFormat="1" applyFont="1" applyBorder="1" applyAlignment="1">
      <alignment horizontal="right"/>
    </xf>
    <xf numFmtId="0" fontId="59" fillId="0" borderId="0" xfId="0" applyFont="1" applyAlignment="1">
      <alignment horizontal="center"/>
    </xf>
    <xf numFmtId="169" fontId="16" fillId="0" borderId="5" xfId="0" applyNumberFormat="1" applyFont="1" applyBorder="1"/>
    <xf numFmtId="169" fontId="0" fillId="0" borderId="5" xfId="0" applyNumberFormat="1" applyBorder="1" applyAlignment="1">
      <alignment horizontal="right"/>
    </xf>
    <xf numFmtId="0" fontId="4" fillId="0" borderId="0" xfId="24" applyFont="1"/>
    <xf numFmtId="3" fontId="3" fillId="0" borderId="0" xfId="24" applyNumberFormat="1" applyFont="1"/>
    <xf numFmtId="164" fontId="16" fillId="0" borderId="2" xfId="2" applyNumberFormat="1" applyFont="1" applyFill="1" applyBorder="1" applyAlignment="1">
      <alignment horizontal="right"/>
    </xf>
    <xf numFmtId="164" fontId="16" fillId="0" borderId="3" xfId="0" applyNumberFormat="1" applyFont="1" applyBorder="1" applyAlignment="1">
      <alignment horizontal="right"/>
    </xf>
    <xf numFmtId="0" fontId="18" fillId="0" borderId="0" xfId="0" applyFont="1" applyAlignment="1">
      <alignment horizontal="left" vertical="top"/>
    </xf>
    <xf numFmtId="3" fontId="0" fillId="0" borderId="2" xfId="0" applyNumberFormat="1" applyBorder="1" applyAlignment="1">
      <alignment horizontal="right"/>
    </xf>
    <xf numFmtId="3" fontId="18" fillId="0" borderId="3" xfId="0" applyNumberFormat="1" applyFont="1" applyBorder="1" applyAlignment="1">
      <alignment horizontal="right"/>
    </xf>
    <xf numFmtId="3" fontId="18" fillId="0" borderId="4" xfId="0" applyNumberFormat="1" applyFont="1" applyBorder="1" applyAlignment="1">
      <alignment horizontal="right"/>
    </xf>
    <xf numFmtId="3" fontId="24" fillId="0" borderId="0" xfId="0" applyNumberFormat="1" applyFont="1" applyAlignment="1">
      <alignment horizontal="right" vertical="top"/>
    </xf>
    <xf numFmtId="0" fontId="0" fillId="0" borderId="0" xfId="0" applyAlignment="1">
      <alignment horizontal="left" indent="1"/>
    </xf>
    <xf numFmtId="41" fontId="35" fillId="0" borderId="2" xfId="17" applyNumberFormat="1" applyFont="1" applyBorder="1"/>
    <xf numFmtId="0" fontId="22" fillId="0" borderId="0" xfId="0" applyFont="1" applyAlignment="1">
      <alignment horizontal="right" vertical="top"/>
    </xf>
    <xf numFmtId="0" fontId="26" fillId="0" borderId="0" xfId="0" applyFont="1" applyAlignment="1">
      <alignment horizontal="left" vertical="top"/>
    </xf>
    <xf numFmtId="3" fontId="0" fillId="0" borderId="5" xfId="0" applyNumberFormat="1" applyBorder="1" applyAlignment="1">
      <alignment horizontal="right"/>
    </xf>
    <xf numFmtId="41" fontId="0" fillId="0" borderId="5" xfId="0" applyNumberFormat="1" applyBorder="1" applyAlignment="1">
      <alignment horizontal="right"/>
    </xf>
    <xf numFmtId="41" fontId="35" fillId="0" borderId="0" xfId="17" applyNumberFormat="1" applyFont="1"/>
    <xf numFmtId="166" fontId="0" fillId="0" borderId="5" xfId="0" applyNumberFormat="1" applyBorder="1" applyAlignment="1">
      <alignment horizontal="right"/>
    </xf>
    <xf numFmtId="164" fontId="28" fillId="0" borderId="0" xfId="0" applyNumberFormat="1" applyFont="1"/>
    <xf numFmtId="0" fontId="16" fillId="0" borderId="0" xfId="0" applyFont="1" applyAlignment="1">
      <alignment vertical="center"/>
    </xf>
    <xf numFmtId="0" fontId="83" fillId="0" borderId="0" xfId="0" applyFont="1" applyAlignment="1">
      <alignment wrapText="1"/>
    </xf>
    <xf numFmtId="0" fontId="2" fillId="0" borderId="0" xfId="24" applyFont="1"/>
    <xf numFmtId="0" fontId="0" fillId="11" borderId="0" xfId="0" applyFill="1"/>
    <xf numFmtId="0" fontId="0" fillId="15" borderId="0" xfId="0" applyFill="1"/>
    <xf numFmtId="0" fontId="68" fillId="0" borderId="0" xfId="29" applyFont="1"/>
    <xf numFmtId="0" fontId="67" fillId="0" borderId="0" xfId="29" applyFont="1"/>
    <xf numFmtId="3" fontId="67" fillId="0" borderId="0" xfId="29" applyNumberFormat="1" applyFont="1"/>
    <xf numFmtId="0" fontId="67" fillId="0" borderId="0" xfId="29" applyFont="1" applyAlignment="1">
      <alignment horizontal="center"/>
    </xf>
    <xf numFmtId="3" fontId="68" fillId="0" borderId="0" xfId="29" applyNumberFormat="1" applyFont="1" applyAlignment="1">
      <alignment horizontal="right"/>
    </xf>
    <xf numFmtId="0" fontId="1" fillId="0" borderId="0" xfId="29"/>
    <xf numFmtId="173" fontId="1" fillId="0" borderId="0" xfId="29" applyNumberFormat="1" applyAlignment="1">
      <alignment horizontal="center"/>
    </xf>
    <xf numFmtId="0" fontId="1" fillId="0" borderId="0" xfId="29" applyAlignment="1">
      <alignment horizontal="center"/>
    </xf>
    <xf numFmtId="3" fontId="1" fillId="0" borderId="0" xfId="29" applyNumberFormat="1" applyAlignment="1">
      <alignment horizontal="center"/>
    </xf>
    <xf numFmtId="3" fontId="1" fillId="0" borderId="0" xfId="29" applyNumberFormat="1"/>
    <xf numFmtId="3" fontId="1" fillId="14" borderId="0" xfId="29" applyNumberFormat="1" applyFill="1"/>
    <xf numFmtId="0" fontId="81" fillId="0" borderId="0" xfId="29" applyFont="1"/>
    <xf numFmtId="3" fontId="1" fillId="0" borderId="3" xfId="29" applyNumberFormat="1" applyBorder="1"/>
    <xf numFmtId="0" fontId="81" fillId="0" borderId="0" xfId="29" applyFont="1" applyAlignment="1">
      <alignment horizontal="left"/>
    </xf>
    <xf numFmtId="3" fontId="81" fillId="0" borderId="0" xfId="29" applyNumberFormat="1" applyFont="1"/>
    <xf numFmtId="0" fontId="1" fillId="0" borderId="0" xfId="29" applyAlignment="1">
      <alignment horizontal="left"/>
    </xf>
    <xf numFmtId="3" fontId="1" fillId="0" borderId="5" xfId="29" applyNumberFormat="1" applyBorder="1"/>
    <xf numFmtId="0" fontId="17" fillId="0" borderId="9" xfId="0" applyFont="1" applyBorder="1" applyAlignment="1">
      <alignment horizontal="left"/>
    </xf>
    <xf numFmtId="0" fontId="16" fillId="0" borderId="10" xfId="0" applyFont="1" applyBorder="1" applyAlignment="1">
      <alignment horizontal="left" vertical="top"/>
    </xf>
    <xf numFmtId="0" fontId="17" fillId="0" borderId="11" xfId="0" applyFont="1" applyBorder="1" applyAlignment="1">
      <alignment horizontal="right"/>
    </xf>
    <xf numFmtId="0" fontId="82" fillId="0" borderId="11" xfId="0" applyFont="1" applyBorder="1" applyAlignment="1">
      <alignment horizontal="right" wrapText="1"/>
    </xf>
    <xf numFmtId="0" fontId="16" fillId="0" borderId="9" xfId="0" applyFont="1" applyBorder="1" applyAlignment="1">
      <alignment horizontal="left" vertical="top"/>
    </xf>
    <xf numFmtId="0" fontId="16" fillId="0" borderId="11" xfId="0" applyFont="1" applyBorder="1" applyAlignment="1">
      <alignment horizontal="right" vertical="top"/>
    </xf>
    <xf numFmtId="3" fontId="16" fillId="0" borderId="11" xfId="0" applyNumberFormat="1" applyFont="1" applyBorder="1" applyAlignment="1">
      <alignment horizontal="right" vertical="top"/>
    </xf>
    <xf numFmtId="0" fontId="17" fillId="0" borderId="9" xfId="0" applyFont="1" applyBorder="1" applyAlignment="1">
      <alignment horizontal="left" vertical="top"/>
    </xf>
    <xf numFmtId="0" fontId="59" fillId="0" borderId="9" xfId="0" applyFont="1" applyBorder="1" applyAlignment="1">
      <alignment vertical="top"/>
    </xf>
    <xf numFmtId="0" fontId="16" fillId="0" borderId="0" xfId="0" applyFont="1" applyAlignment="1">
      <alignment wrapText="1"/>
    </xf>
    <xf numFmtId="169" fontId="18" fillId="0" borderId="5" xfId="0" applyNumberFormat="1" applyFont="1" applyBorder="1" applyAlignment="1">
      <alignment horizontal="right"/>
    </xf>
    <xf numFmtId="41" fontId="38" fillId="0" borderId="0" xfId="0" applyNumberFormat="1" applyFont="1" applyAlignment="1">
      <alignment horizontal="right"/>
    </xf>
    <xf numFmtId="41" fontId="0" fillId="0" borderId="0" xfId="0" applyNumberFormat="1" applyAlignment="1">
      <alignment horizontal="center"/>
    </xf>
    <xf numFmtId="41" fontId="16" fillId="0" borderId="0" xfId="0" applyNumberFormat="1" applyFont="1" applyAlignment="1">
      <alignment horizontal="center"/>
    </xf>
    <xf numFmtId="0" fontId="41" fillId="0" borderId="0" xfId="0" applyFont="1"/>
    <xf numFmtId="0" fontId="60" fillId="0" borderId="0" xfId="0" applyFont="1"/>
    <xf numFmtId="0" fontId="16" fillId="0" borderId="0" xfId="0" applyFont="1" applyAlignment="1">
      <alignment horizontal="right" wrapText="1"/>
    </xf>
    <xf numFmtId="0" fontId="81" fillId="0" borderId="0" xfId="24" applyFont="1"/>
    <xf numFmtId="169" fontId="35" fillId="0" borderId="0" xfId="0" applyNumberFormat="1" applyFont="1"/>
    <xf numFmtId="167" fontId="0" fillId="0" borderId="0" xfId="0" applyNumberFormat="1" applyAlignment="1">
      <alignment horizontal="right"/>
    </xf>
    <xf numFmtId="166" fontId="16" fillId="0" borderId="0" xfId="0" applyNumberFormat="1" applyFont="1" applyAlignment="1">
      <alignment horizontal="center"/>
    </xf>
    <xf numFmtId="0" fontId="24" fillId="3" borderId="0" xfId="0" applyFont="1" applyFill="1" applyAlignment="1">
      <alignment horizontal="left" vertical="center"/>
    </xf>
    <xf numFmtId="0" fontId="24" fillId="13" borderId="0" xfId="13" applyFont="1" applyFill="1"/>
    <xf numFmtId="0" fontId="54" fillId="0" borderId="0" xfId="13" applyFont="1"/>
    <xf numFmtId="0" fontId="24" fillId="0" borderId="0" xfId="13" applyFont="1" applyProtection="1">
      <protection locked="0"/>
    </xf>
    <xf numFmtId="0" fontId="54" fillId="0" borderId="0" xfId="13" applyFont="1" applyAlignment="1">
      <alignment horizontal="left"/>
    </xf>
    <xf numFmtId="0" fontId="24" fillId="13" borderId="0" xfId="13" applyFont="1" applyFill="1" applyProtection="1">
      <protection locked="0"/>
    </xf>
    <xf numFmtId="0" fontId="54" fillId="13" borderId="0" xfId="13" applyFont="1" applyFill="1" applyProtection="1">
      <protection locked="0"/>
    </xf>
    <xf numFmtId="0" fontId="54" fillId="0" borderId="0" xfId="0" applyFont="1"/>
    <xf numFmtId="0" fontId="24" fillId="0" borderId="0" xfId="13" applyFont="1" applyAlignment="1">
      <alignment horizontal="center"/>
    </xf>
    <xf numFmtId="0" fontId="90" fillId="0" borderId="0" xfId="13" applyFont="1"/>
    <xf numFmtId="0" fontId="91" fillId="0" borderId="0" xfId="13" applyFont="1"/>
    <xf numFmtId="0" fontId="24" fillId="0" borderId="0" xfId="13" applyFont="1"/>
    <xf numFmtId="0" fontId="24" fillId="0" borderId="0" xfId="13" applyFont="1" applyAlignment="1">
      <alignment horizontal="left" wrapText="1"/>
    </xf>
    <xf numFmtId="17" fontId="54" fillId="0" borderId="0" xfId="0" applyNumberFormat="1" applyFont="1" applyAlignment="1">
      <alignment horizontal="left"/>
    </xf>
    <xf numFmtId="0" fontId="92" fillId="0" borderId="0" xfId="13" applyFont="1"/>
    <xf numFmtId="15" fontId="54" fillId="0" borderId="0" xfId="13" applyNumberFormat="1" applyFont="1" applyAlignment="1">
      <alignment horizontal="left"/>
    </xf>
    <xf numFmtId="0" fontId="54" fillId="0" borderId="0" xfId="13" applyFont="1" applyAlignment="1">
      <alignment horizontal="left" vertical="top"/>
    </xf>
    <xf numFmtId="17" fontId="54" fillId="0" borderId="0" xfId="0" applyNumberFormat="1" applyFont="1" applyAlignment="1">
      <alignment horizontal="left" wrapText="1"/>
    </xf>
    <xf numFmtId="0" fontId="93" fillId="0" borderId="0" xfId="13" applyFont="1" applyAlignment="1">
      <alignment vertical="top" wrapText="1"/>
    </xf>
    <xf numFmtId="17" fontId="54" fillId="0" borderId="0" xfId="13" applyNumberFormat="1" applyFont="1" applyAlignment="1">
      <alignment horizontal="left"/>
    </xf>
    <xf numFmtId="0" fontId="93" fillId="0" borderId="0" xfId="13" applyFont="1"/>
    <xf numFmtId="0" fontId="88" fillId="13" borderId="0" xfId="32" applyFill="1" applyBorder="1" applyProtection="1">
      <protection locked="0"/>
    </xf>
    <xf numFmtId="0" fontId="54" fillId="3" borderId="0" xfId="0" applyFont="1" applyFill="1"/>
    <xf numFmtId="0" fontId="54" fillId="0" borderId="0" xfId="0" applyFont="1" applyAlignment="1">
      <alignment horizontal="left" vertical="center"/>
    </xf>
    <xf numFmtId="0" fontId="54" fillId="3" borderId="0" xfId="0" applyFont="1" applyFill="1" applyAlignment="1">
      <alignment horizontal="center" vertical="center"/>
    </xf>
    <xf numFmtId="17" fontId="54" fillId="3" borderId="0" xfId="0" quotePrefix="1" applyNumberFormat="1" applyFont="1" applyFill="1" applyAlignment="1">
      <alignment horizontal="center" vertical="center"/>
    </xf>
    <xf numFmtId="0" fontId="54" fillId="0" borderId="0" xfId="0" quotePrefix="1" applyFont="1" applyAlignment="1">
      <alignment horizontal="center" vertical="center"/>
    </xf>
    <xf numFmtId="0" fontId="61" fillId="3" borderId="0" xfId="30" applyFill="1" applyBorder="1"/>
    <xf numFmtId="0" fontId="87" fillId="3" borderId="0" xfId="31" applyFill="1" applyBorder="1"/>
    <xf numFmtId="0" fontId="54" fillId="3" borderId="2" xfId="0" applyFont="1" applyFill="1" applyBorder="1"/>
    <xf numFmtId="15" fontId="54" fillId="3" borderId="2" xfId="0" applyNumberFormat="1" applyFont="1" applyFill="1" applyBorder="1"/>
    <xf numFmtId="0" fontId="61" fillId="0" borderId="0" xfId="30" applyBorder="1" applyAlignment="1">
      <alignment vertical="top"/>
    </xf>
    <xf numFmtId="0" fontId="87" fillId="0" borderId="0" xfId="31" applyBorder="1"/>
    <xf numFmtId="0" fontId="87" fillId="0" borderId="8" xfId="31" applyBorder="1"/>
    <xf numFmtId="0" fontId="56" fillId="0" borderId="0" xfId="0" applyFont="1"/>
    <xf numFmtId="0" fontId="54" fillId="0" borderId="0" xfId="0" applyFont="1" applyAlignment="1">
      <alignment horizontal="center"/>
    </xf>
    <xf numFmtId="164" fontId="54" fillId="0" borderId="0" xfId="3" applyNumberFormat="1" applyFont="1" applyFill="1" applyProtection="1"/>
    <xf numFmtId="41" fontId="54" fillId="0" borderId="0" xfId="17" applyNumberFormat="1" applyFont="1"/>
    <xf numFmtId="166" fontId="54" fillId="0" borderId="0" xfId="2" applyNumberFormat="1" applyFont="1" applyFill="1" applyAlignment="1">
      <alignment horizontal="right"/>
    </xf>
    <xf numFmtId="164" fontId="54" fillId="0" borderId="0" xfId="3" applyNumberFormat="1" applyFont="1" applyFill="1" applyBorder="1" applyProtection="1"/>
    <xf numFmtId="169" fontId="54" fillId="0" borderId="0" xfId="0" applyNumberFormat="1" applyFont="1" applyAlignment="1">
      <alignment horizontal="center"/>
    </xf>
    <xf numFmtId="166" fontId="54" fillId="0" borderId="0" xfId="2" applyNumberFormat="1" applyFont="1" applyFill="1" applyBorder="1" applyAlignment="1">
      <alignment horizontal="right"/>
    </xf>
    <xf numFmtId="0" fontId="54" fillId="0" borderId="0" xfId="32" applyFont="1" applyBorder="1"/>
    <xf numFmtId="41" fontId="54" fillId="0" borderId="3" xfId="2" applyNumberFormat="1" applyFont="1" applyFill="1" applyBorder="1" applyAlignment="1">
      <alignment horizontal="right"/>
    </xf>
    <xf numFmtId="166" fontId="54" fillId="0" borderId="3" xfId="2" applyNumberFormat="1" applyFont="1" applyFill="1" applyBorder="1" applyAlignment="1">
      <alignment horizontal="right"/>
    </xf>
    <xf numFmtId="0" fontId="24" fillId="0" borderId="0" xfId="31" applyFont="1" applyBorder="1"/>
    <xf numFmtId="16" fontId="54" fillId="0" borderId="0" xfId="0" quotePrefix="1" applyNumberFormat="1" applyFont="1" applyAlignment="1">
      <alignment horizontal="center"/>
    </xf>
    <xf numFmtId="169" fontId="54" fillId="0" borderId="0" xfId="2" applyNumberFormat="1" applyFont="1" applyFill="1" applyBorder="1" applyAlignment="1">
      <alignment horizontal="center"/>
    </xf>
    <xf numFmtId="169" fontId="54" fillId="0" borderId="0" xfId="2" applyNumberFormat="1" applyFont="1" applyFill="1" applyBorder="1" applyAlignment="1">
      <alignment horizontal="right"/>
    </xf>
    <xf numFmtId="169" fontId="54" fillId="0" borderId="0" xfId="0" applyNumberFormat="1" applyFont="1" applyAlignment="1">
      <alignment horizontal="right"/>
    </xf>
    <xf numFmtId="0" fontId="24" fillId="0" borderId="0" xfId="0" applyFont="1"/>
    <xf numFmtId="169" fontId="54" fillId="0" borderId="4" xfId="0" applyNumberFormat="1" applyFont="1" applyBorder="1" applyAlignment="1">
      <alignment horizontal="center"/>
    </xf>
    <xf numFmtId="0" fontId="54" fillId="0" borderId="2" xfId="0" applyFont="1" applyBorder="1" applyAlignment="1">
      <alignment vertical="top"/>
    </xf>
    <xf numFmtId="0" fontId="24" fillId="0" borderId="0" xfId="0" applyFont="1" applyAlignment="1">
      <alignment horizontal="center"/>
    </xf>
    <xf numFmtId="0" fontId="24" fillId="0" borderId="0" xfId="0" applyFont="1" applyAlignment="1">
      <alignment horizontal="center" wrapText="1"/>
    </xf>
    <xf numFmtId="0" fontId="24" fillId="0" borderId="0" xfId="0" quotePrefix="1" applyFont="1" applyAlignment="1">
      <alignment horizontal="center" wrapText="1"/>
    </xf>
    <xf numFmtId="0" fontId="54" fillId="0" borderId="8" xfId="0" applyFont="1" applyBorder="1"/>
    <xf numFmtId="0" fontId="24" fillId="0" borderId="8" xfId="0" applyFont="1" applyBorder="1" applyAlignment="1">
      <alignment horizontal="center" wrapText="1"/>
    </xf>
    <xf numFmtId="3" fontId="54" fillId="0" borderId="7" xfId="0" applyNumberFormat="1" applyFont="1" applyBorder="1" applyAlignment="1">
      <alignment horizontal="right" vertical="center"/>
    </xf>
    <xf numFmtId="3" fontId="54" fillId="0" borderId="0" xfId="0" applyNumberFormat="1" applyFont="1" applyAlignment="1">
      <alignment horizontal="right" vertical="center"/>
    </xf>
    <xf numFmtId="169" fontId="54" fillId="0" borderId="0" xfId="14" applyNumberFormat="1" applyFont="1" applyAlignment="1">
      <alignment horizontal="right"/>
    </xf>
    <xf numFmtId="164" fontId="54" fillId="0" borderId="0" xfId="0" applyNumberFormat="1" applyFont="1" applyAlignment="1">
      <alignment horizontal="right" vertical="center"/>
    </xf>
    <xf numFmtId="3" fontId="54" fillId="0" borderId="4" xfId="0" applyNumberFormat="1" applyFont="1" applyBorder="1" applyAlignment="1">
      <alignment horizontal="right" vertical="center"/>
    </xf>
    <xf numFmtId="3" fontId="54" fillId="0" borderId="0" xfId="0" applyNumberFormat="1" applyFont="1" applyAlignment="1">
      <alignment horizontal="right"/>
    </xf>
    <xf numFmtId="164" fontId="54" fillId="0" borderId="0" xfId="0" applyNumberFormat="1" applyFont="1" applyAlignment="1">
      <alignment horizontal="right"/>
    </xf>
    <xf numFmtId="3" fontId="54" fillId="0" borderId="5" xfId="0" applyNumberFormat="1" applyFont="1" applyBorder="1" applyAlignment="1">
      <alignment horizontal="right"/>
    </xf>
    <xf numFmtId="0" fontId="54" fillId="3" borderId="0" xfId="0" applyFont="1" applyFill="1" applyAlignment="1">
      <alignment vertical="top" wrapText="1"/>
    </xf>
    <xf numFmtId="0" fontId="54" fillId="3" borderId="0" xfId="0" applyFont="1" applyFill="1" applyAlignment="1">
      <alignment horizontal="center" vertical="top" wrapText="1"/>
    </xf>
    <xf numFmtId="3" fontId="54" fillId="0" borderId="0" xfId="0" applyNumberFormat="1" applyFont="1" applyAlignment="1">
      <alignment vertical="top" wrapText="1"/>
    </xf>
    <xf numFmtId="0" fontId="24" fillId="3" borderId="0" xfId="31" applyFont="1" applyFill="1" applyBorder="1" applyAlignment="1">
      <alignment vertical="top" wrapText="1"/>
    </xf>
    <xf numFmtId="3" fontId="54" fillId="0" borderId="6" xfId="0" applyNumberFormat="1" applyFont="1" applyBorder="1" applyAlignment="1">
      <alignment vertical="top" wrapText="1"/>
    </xf>
    <xf numFmtId="0" fontId="61" fillId="0" borderId="0" xfId="30" applyBorder="1"/>
    <xf numFmtId="0" fontId="54" fillId="0" borderId="8" xfId="0" applyFont="1" applyBorder="1" applyAlignment="1">
      <alignment horizontal="center"/>
    </xf>
    <xf numFmtId="166" fontId="54" fillId="0" borderId="8" xfId="0" applyNumberFormat="1" applyFont="1" applyBorder="1" applyAlignment="1">
      <alignment horizontal="right"/>
    </xf>
    <xf numFmtId="166" fontId="54" fillId="0" borderId="0" xfId="0" applyNumberFormat="1" applyFont="1" applyAlignment="1">
      <alignment horizontal="right"/>
    </xf>
    <xf numFmtId="164" fontId="54" fillId="0" borderId="0" xfId="0" applyNumberFormat="1" applyFont="1" applyAlignment="1">
      <alignment horizontal="center"/>
    </xf>
    <xf numFmtId="164" fontId="54" fillId="0" borderId="2" xfId="3" applyNumberFormat="1" applyFont="1" applyFill="1" applyBorder="1" applyProtection="1"/>
    <xf numFmtId="164" fontId="54" fillId="0" borderId="2" xfId="3" applyNumberFormat="1" applyFont="1" applyFill="1" applyBorder="1" applyAlignment="1" applyProtection="1"/>
    <xf numFmtId="166" fontId="54" fillId="0" borderId="2" xfId="2" applyNumberFormat="1" applyFont="1" applyFill="1" applyBorder="1" applyAlignment="1">
      <alignment horizontal="right"/>
    </xf>
    <xf numFmtId="164" fontId="54" fillId="0" borderId="3" xfId="3" applyNumberFormat="1" applyFont="1" applyFill="1" applyBorder="1" applyProtection="1"/>
    <xf numFmtId="164" fontId="54" fillId="0" borderId="5" xfId="3" applyNumberFormat="1" applyFont="1" applyFill="1" applyBorder="1" applyProtection="1"/>
    <xf numFmtId="166" fontId="54" fillId="0" borderId="5" xfId="2" applyNumberFormat="1" applyFont="1" applyFill="1" applyBorder="1" applyAlignment="1">
      <alignment horizontal="right"/>
    </xf>
    <xf numFmtId="0" fontId="54" fillId="0" borderId="0" xfId="0" applyFont="1" applyAlignment="1">
      <alignment horizontal="right"/>
    </xf>
    <xf numFmtId="0" fontId="24" fillId="0" borderId="8" xfId="31" applyFont="1" applyBorder="1"/>
    <xf numFmtId="0" fontId="24" fillId="0" borderId="8" xfId="0" applyFont="1" applyBorder="1" applyAlignment="1">
      <alignment horizontal="center"/>
    </xf>
    <xf numFmtId="0" fontId="54" fillId="0" borderId="8" xfId="0" applyFont="1" applyBorder="1" applyAlignment="1">
      <alignment horizontal="right"/>
    </xf>
    <xf numFmtId="0" fontId="94" fillId="3" borderId="0" xfId="0" applyFont="1" applyFill="1"/>
    <xf numFmtId="0" fontId="95" fillId="3" borderId="0" xfId="0" applyFont="1" applyFill="1"/>
    <xf numFmtId="0" fontId="54" fillId="2" borderId="0" xfId="0" applyFont="1" applyFill="1"/>
    <xf numFmtId="0" fontId="54" fillId="2" borderId="0" xfId="0" applyFont="1" applyFill="1" applyAlignment="1">
      <alignment horizontal="center"/>
    </xf>
    <xf numFmtId="169" fontId="54" fillId="2" borderId="3" xfId="14" applyNumberFormat="1" applyFont="1" applyFill="1" applyBorder="1" applyAlignment="1">
      <alignment horizontal="right"/>
    </xf>
    <xf numFmtId="0" fontId="94" fillId="0" borderId="0" xfId="0" applyFont="1"/>
    <xf numFmtId="169" fontId="94" fillId="0" borderId="0" xfId="14" applyNumberFormat="1" applyFont="1" applyAlignment="1">
      <alignment horizontal="right"/>
    </xf>
    <xf numFmtId="169" fontId="54" fillId="0" borderId="3" xfId="3" applyNumberFormat="1" applyFont="1" applyFill="1" applyBorder="1" applyAlignment="1">
      <alignment horizontal="right"/>
    </xf>
    <xf numFmtId="0" fontId="54" fillId="0" borderId="0" xfId="0" applyFont="1" applyAlignment="1">
      <alignment horizontal="left" vertical="top" wrapText="1"/>
    </xf>
    <xf numFmtId="169" fontId="54" fillId="0" borderId="0" xfId="0" applyNumberFormat="1" applyFont="1" applyAlignment="1">
      <alignment horizontal="left"/>
    </xf>
    <xf numFmtId="169" fontId="54" fillId="0" borderId="0" xfId="14" applyNumberFormat="1" applyFont="1" applyAlignment="1">
      <alignment horizontal="left"/>
    </xf>
    <xf numFmtId="169" fontId="54" fillId="0" borderId="3" xfId="14" applyNumberFormat="1" applyFont="1" applyBorder="1" applyAlignment="1">
      <alignment horizontal="right"/>
    </xf>
    <xf numFmtId="0" fontId="54" fillId="3" borderId="0" xfId="0" applyFont="1" applyFill="1" applyAlignment="1">
      <alignment vertical="center" wrapText="1"/>
    </xf>
    <xf numFmtId="0" fontId="54" fillId="0" borderId="0" xfId="0" applyFont="1" applyAlignment="1">
      <alignment vertical="center"/>
    </xf>
    <xf numFmtId="0" fontId="94" fillId="0" borderId="0" xfId="0" applyFont="1" applyAlignment="1">
      <alignment horizontal="left" vertical="center"/>
    </xf>
    <xf numFmtId="0" fontId="24" fillId="0" borderId="0" xfId="31" applyFont="1" applyFill="1" applyBorder="1" applyAlignment="1">
      <alignment vertical="center"/>
    </xf>
    <xf numFmtId="0" fontId="24" fillId="0" borderId="0" xfId="0" applyFont="1" applyAlignment="1">
      <alignment vertical="center" wrapText="1"/>
    </xf>
    <xf numFmtId="169" fontId="54" fillId="0" borderId="3" xfId="14" applyNumberFormat="1" applyFont="1" applyBorder="1" applyAlignment="1">
      <alignment vertical="center"/>
    </xf>
    <xf numFmtId="0" fontId="54" fillId="0" borderId="0" xfId="32" applyFont="1" applyFill="1" applyBorder="1" applyAlignment="1">
      <alignment vertical="center"/>
    </xf>
    <xf numFmtId="0" fontId="54" fillId="0" borderId="0" xfId="0" applyFont="1" applyAlignment="1">
      <alignment vertical="center" wrapText="1"/>
    </xf>
    <xf numFmtId="169" fontId="54" fillId="0" borderId="6" xfId="14" applyNumberFormat="1" applyFont="1" applyBorder="1" applyAlignment="1">
      <alignment vertical="center"/>
    </xf>
    <xf numFmtId="0" fontId="54" fillId="0" borderId="0" xfId="0" applyFont="1" applyAlignment="1">
      <alignment vertical="top" wrapText="1"/>
    </xf>
    <xf numFmtId="0" fontId="54" fillId="0" borderId="0" xfId="0" applyFont="1" applyAlignment="1">
      <alignment horizontal="center" vertical="center" wrapText="1"/>
    </xf>
    <xf numFmtId="0" fontId="24" fillId="0" borderId="0" xfId="31" applyFont="1" applyFill="1" applyBorder="1" applyAlignment="1">
      <alignment vertical="center" wrapText="1"/>
    </xf>
    <xf numFmtId="169" fontId="54" fillId="0" borderId="4" xfId="3" applyNumberFormat="1" applyFont="1" applyFill="1" applyBorder="1" applyAlignment="1">
      <alignment horizontal="right"/>
    </xf>
    <xf numFmtId="0" fontId="61" fillId="0" borderId="14" xfId="30" applyBorder="1" applyAlignment="1">
      <alignment horizontal="left" vertical="center" wrapText="1"/>
    </xf>
    <xf numFmtId="0" fontId="89" fillId="0" borderId="0" xfId="10" applyFont="1" applyFill="1" applyBorder="1" applyAlignment="1" applyProtection="1"/>
    <xf numFmtId="0" fontId="54" fillId="0" borderId="0" xfId="0" applyFont="1"/>
    <xf numFmtId="0" fontId="54" fillId="0" borderId="0" xfId="13" applyFont="1"/>
    <xf numFmtId="0" fontId="87" fillId="0" borderId="0" xfId="31" applyBorder="1" applyAlignment="1">
      <alignment horizontal="left" vertical="center" wrapText="1"/>
    </xf>
    <xf numFmtId="0" fontId="61" fillId="3" borderId="0" xfId="30" applyFill="1" applyBorder="1" applyAlignment="1">
      <alignment horizontal="left" vertical="center"/>
    </xf>
    <xf numFmtId="0" fontId="87" fillId="3" borderId="0" xfId="31" applyFill="1" applyBorder="1" applyAlignment="1">
      <alignment horizontal="left" vertical="center"/>
    </xf>
    <xf numFmtId="0" fontId="54" fillId="3" borderId="0" xfId="0" applyFont="1" applyFill="1" applyAlignment="1">
      <alignment horizontal="left"/>
    </xf>
    <xf numFmtId="0" fontId="18" fillId="3" borderId="0" xfId="0" applyFont="1" applyFill="1" applyAlignment="1">
      <alignment horizontal="left" vertical="top" wrapText="1"/>
    </xf>
    <xf numFmtId="0" fontId="27" fillId="0" borderId="0" xfId="0" applyFont="1" applyAlignment="1">
      <alignment horizontal="left" wrapText="1"/>
    </xf>
    <xf numFmtId="0" fontId="16" fillId="0" borderId="0" xfId="0" applyFont="1" applyAlignment="1">
      <alignment horizontal="left" vertical="center" wrapText="1"/>
    </xf>
    <xf numFmtId="0" fontId="16" fillId="5" borderId="0" xfId="0" applyFont="1" applyFill="1" applyAlignment="1">
      <alignment horizontal="center" vertical="center" wrapText="1"/>
    </xf>
    <xf numFmtId="0" fontId="16" fillId="0" borderId="0" xfId="12" applyAlignment="1">
      <alignment horizontal="left" vertical="top" wrapText="1"/>
    </xf>
    <xf numFmtId="0" fontId="75" fillId="0" borderId="0" xfId="12" applyFont="1" applyAlignment="1">
      <alignment horizontal="left" vertical="top" wrapText="1"/>
    </xf>
    <xf numFmtId="0" fontId="38" fillId="0" borderId="0" xfId="12" applyFont="1" applyAlignment="1">
      <alignment horizontal="left" vertical="top" wrapText="1"/>
    </xf>
    <xf numFmtId="0" fontId="16" fillId="0" borderId="0" xfId="12" applyAlignment="1">
      <alignment vertical="top" wrapText="1"/>
    </xf>
    <xf numFmtId="0" fontId="77" fillId="0" borderId="0" xfId="12" applyFont="1" applyAlignment="1">
      <alignment horizontal="left" vertical="top" wrapText="1"/>
    </xf>
    <xf numFmtId="0" fontId="19" fillId="0" borderId="0" xfId="12" applyFont="1" applyAlignment="1">
      <alignment horizontal="left" vertical="top" wrapText="1"/>
    </xf>
    <xf numFmtId="0" fontId="16" fillId="0" borderId="0" xfId="12" applyAlignment="1">
      <alignment wrapText="1"/>
    </xf>
    <xf numFmtId="0" fontId="16" fillId="0" borderId="0" xfId="26" applyAlignment="1">
      <alignment horizontal="left" vertical="center" wrapText="1"/>
    </xf>
    <xf numFmtId="0" fontId="75" fillId="0" borderId="0" xfId="12"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left" wrapText="1"/>
    </xf>
    <xf numFmtId="0" fontId="71" fillId="0" borderId="0" xfId="0" applyFont="1" applyAlignment="1">
      <alignment horizontal="left" vertical="top" wrapText="1"/>
    </xf>
    <xf numFmtId="0" fontId="0" fillId="0" borderId="0" xfId="0" applyAlignment="1">
      <alignment horizontal="left" wrapText="1"/>
    </xf>
    <xf numFmtId="0" fontId="18" fillId="0" borderId="0" xfId="0" applyFont="1" applyAlignment="1">
      <alignment horizontal="left" wrapText="1"/>
    </xf>
    <xf numFmtId="0" fontId="16" fillId="0" borderId="0" xfId="0" applyFont="1" applyAlignment="1">
      <alignment horizontal="left"/>
    </xf>
    <xf numFmtId="0" fontId="0" fillId="0" borderId="0" xfId="0" applyAlignment="1">
      <alignment horizontal="left" vertical="top" wrapText="1"/>
    </xf>
    <xf numFmtId="0" fontId="28" fillId="0" borderId="0" xfId="0" applyFont="1" applyAlignment="1">
      <alignment vertical="top" wrapText="1"/>
    </xf>
    <xf numFmtId="0" fontId="59" fillId="0" borderId="0" xfId="0" applyFont="1" applyAlignment="1">
      <alignment horizontal="left" vertical="top" wrapText="1"/>
    </xf>
    <xf numFmtId="3" fontId="60" fillId="0" borderId="0" xfId="0" applyNumberFormat="1" applyFont="1" applyAlignment="1">
      <alignment horizontal="center" wrapText="1"/>
    </xf>
    <xf numFmtId="0" fontId="16" fillId="0" borderId="0" xfId="16" applyFont="1" applyAlignment="1">
      <alignment horizontal="left" vertical="top" wrapText="1"/>
    </xf>
    <xf numFmtId="0" fontId="16" fillId="8" borderId="0" xfId="0" applyFont="1" applyFill="1" applyAlignment="1">
      <alignment horizontal="left" wrapText="1"/>
    </xf>
    <xf numFmtId="3" fontId="60" fillId="13" borderId="0" xfId="0" applyNumberFormat="1" applyFont="1" applyFill="1" applyAlignment="1">
      <alignment horizontal="center" wrapText="1"/>
    </xf>
    <xf numFmtId="0" fontId="16" fillId="0" borderId="0" xfId="0" applyFont="1" applyAlignment="1">
      <alignment horizontal="left" vertical="top" wrapText="1" indent="1"/>
    </xf>
    <xf numFmtId="0" fontId="0" fillId="0" borderId="0" xfId="0"/>
    <xf numFmtId="0" fontId="18" fillId="0" borderId="0" xfId="0" applyFont="1" applyAlignment="1">
      <alignment vertical="top" wrapText="1"/>
    </xf>
  </cellXfs>
  <cellStyles count="34">
    <cellStyle name="Audit NZ" xfId="1" xr:uid="{00000000-0005-0000-0000-000000000000}"/>
    <cellStyle name="Comma" xfId="2" builtinId="3"/>
    <cellStyle name="Comma 2" xfId="3" xr:uid="{00000000-0005-0000-0000-000002000000}"/>
    <cellStyle name="Comma 2 2" xfId="4" xr:uid="{00000000-0005-0000-0000-000003000000}"/>
    <cellStyle name="Comma 3" xfId="5" xr:uid="{00000000-0005-0000-0000-000004000000}"/>
    <cellStyle name="Currency 2" xfId="6" xr:uid="{00000000-0005-0000-0000-000005000000}"/>
    <cellStyle name="Currency 3" xfId="25" xr:uid="{00000000-0005-0000-0000-000006000000}"/>
    <cellStyle name="Footnote" xfId="7" xr:uid="{00000000-0005-0000-0000-000007000000}"/>
    <cellStyle name="FRxAmtStyle" xfId="8" xr:uid="{00000000-0005-0000-0000-000008000000}"/>
    <cellStyle name="Header" xfId="9" xr:uid="{00000000-0005-0000-0000-000009000000}"/>
    <cellStyle name="Heading 1" xfId="30" builtinId="16" customBuiltin="1"/>
    <cellStyle name="Heading 2" xfId="31" builtinId="17" customBuiltin="1"/>
    <cellStyle name="Heading 3" xfId="32" builtinId="18" customBuiltin="1"/>
    <cellStyle name="Heading 4" xfId="33" builtinId="19" customBuiltin="1"/>
    <cellStyle name="Hyperlink" xfId="10" builtinId="8"/>
    <cellStyle name="Hyperlink 2" xfId="11" xr:uid="{00000000-0005-0000-0000-00000B000000}"/>
    <cellStyle name="Normal" xfId="0" builtinId="0"/>
    <cellStyle name="Normal 11" xfId="12" xr:uid="{00000000-0005-0000-0000-00000D000000}"/>
    <cellStyle name="Normal 2" xfId="13" xr:uid="{00000000-0005-0000-0000-00000E000000}"/>
    <cellStyle name="Normal 2 2" xfId="22" xr:uid="{00000000-0005-0000-0000-00000F000000}"/>
    <cellStyle name="Normal 2 3" xfId="26" xr:uid="{00000000-0005-0000-0000-000010000000}"/>
    <cellStyle name="Normal 3" xfId="14" xr:uid="{00000000-0005-0000-0000-000011000000}"/>
    <cellStyle name="Normal 4" xfId="15" xr:uid="{00000000-0005-0000-0000-000012000000}"/>
    <cellStyle name="Normal 5" xfId="23" xr:uid="{00000000-0005-0000-0000-000013000000}"/>
    <cellStyle name="Normal 6" xfId="24" xr:uid="{00000000-0005-0000-0000-000014000000}"/>
    <cellStyle name="Normal 6 2" xfId="27" xr:uid="{00000000-0005-0000-0000-000015000000}"/>
    <cellStyle name="Normal 6 3" xfId="28" xr:uid="{00000000-0005-0000-0000-000016000000}"/>
    <cellStyle name="Normal 6 4" xfId="29" xr:uid="{00000000-0005-0000-0000-000017000000}"/>
    <cellStyle name="Normal_Notes" xfId="16" xr:uid="{00000000-0005-0000-0000-000018000000}"/>
    <cellStyle name="Normal_Rakumanga stmt April 08" xfId="17" xr:uid="{00000000-0005-0000-0000-000019000000}"/>
    <cellStyle name="Percent 2" xfId="18" xr:uid="{00000000-0005-0000-0000-00001A000000}"/>
    <cellStyle name="Rowheader" xfId="19" xr:uid="{00000000-0005-0000-0000-00001B000000}"/>
    <cellStyle name="Subheader" xfId="20" xr:uid="{00000000-0005-0000-0000-00001C000000}"/>
    <cellStyle name="Totals" xfId="21" xr:uid="{00000000-0005-0000-0000-00001D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297181</xdr:colOff>
      <xdr:row>29</xdr:row>
      <xdr:rowOff>152401</xdr:rowOff>
    </xdr:from>
    <xdr:to>
      <xdr:col>0</xdr:col>
      <xdr:colOff>978786</xdr:colOff>
      <xdr:row>33</xdr:row>
      <xdr:rowOff>53662</xdr:rowOff>
    </xdr:to>
    <xdr:pic>
      <xdr:nvPicPr>
        <xdr:cNvPr id="3" name="Picture 2" descr="Signature of Presiding Member">
          <a:extLst>
            <a:ext uri="{FF2B5EF4-FFF2-40B4-BE49-F238E27FC236}">
              <a16:creationId xmlns:a16="http://schemas.microsoft.com/office/drawing/2014/main" id="{50D10499-95F6-36A6-A899-BE743E73E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1" y="4983481"/>
          <a:ext cx="681605" cy="685799"/>
        </a:xfrm>
        <a:prstGeom prst="rect">
          <a:avLst/>
        </a:prstGeom>
      </xdr:spPr>
    </xdr:pic>
    <xdr:clientData/>
  </xdr:twoCellAnchor>
  <xdr:twoCellAnchor editAs="oneCell">
    <xdr:from>
      <xdr:col>5</xdr:col>
      <xdr:colOff>15240</xdr:colOff>
      <xdr:row>31</xdr:row>
      <xdr:rowOff>53340</xdr:rowOff>
    </xdr:from>
    <xdr:to>
      <xdr:col>6</xdr:col>
      <xdr:colOff>318890</xdr:colOff>
      <xdr:row>33</xdr:row>
      <xdr:rowOff>71306</xdr:rowOff>
    </xdr:to>
    <xdr:pic>
      <xdr:nvPicPr>
        <xdr:cNvPr id="5" name="Picture 4" descr="Signature of Principal">
          <a:extLst>
            <a:ext uri="{FF2B5EF4-FFF2-40B4-BE49-F238E27FC236}">
              <a16:creationId xmlns:a16="http://schemas.microsoft.com/office/drawing/2014/main" id="{07FAC9BB-F02B-833A-B8BE-739005E159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12820" y="5219700"/>
          <a:ext cx="1097280" cy="406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GD\GoogleDrive\Users\NicholsonS\AppData\Local\Microsoft\Windows\Temporary%20Internet%20Files\Content.Outlook\NBZG60X7\28401%20Cash%20Flow%20Workpaper%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RT-GD\GoogleDrive\SES%20School%20Finances\National%20Office%20School%20Finance%20Information%202015\TREASURY%20UPLOAD\201516\August%202016\TREASURY_AUG%202016_Worksheet%20working%20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ES%20School%20Finances\National%20Office%20School%20Finance%20Information%202015\TREASURY%20UPLOAD\201516\August%202016\TREASURY_AUG%202016_Worksheet%20working%20FI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winrdp02\homes\LIBRARY\MOE\Model%20Financial%20Statements\Kiwi-Park-Model-2016-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RT-GD\GoogleDrive\HAMILTON\FILES\Finance%20Leases\5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2. Cashflow"/>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Instructions"/>
      <sheetName val="Control"/>
      <sheetName val="Validation Rules Check"/>
      <sheetName val="1.50.0"/>
      <sheetName val="1.50.1"/>
      <sheetName val="1.51.0"/>
      <sheetName val="1.51.1"/>
      <sheetName val="1.51.2"/>
      <sheetName val="1.51.3"/>
      <sheetName val="1.51.5"/>
      <sheetName val="1.51.6"/>
      <sheetName val="1.51.7"/>
      <sheetName val="1.52.0"/>
      <sheetName val="1.54.0"/>
      <sheetName val="1.56.0"/>
      <sheetName val="PY 1.50.0"/>
      <sheetName val="PY 1.50.1"/>
      <sheetName val="PY 1.51.0"/>
      <sheetName val="PY 1.51.1"/>
      <sheetName val="PY 1.51.2"/>
      <sheetName val="PY 1.51.3"/>
      <sheetName val="PY 1.51.5"/>
      <sheetName val="PY 1.51.6"/>
      <sheetName val="PY 1.51.7"/>
      <sheetName val="PY 1.52.0"/>
      <sheetName val="PY 1.54.0"/>
      <sheetName val="PY 1.56.0"/>
      <sheetName val="Cashflow"/>
      <sheetName val="Land&amp;Build-Ian Dennis Data"/>
      <sheetName val="assets"/>
      <sheetName val="Fids Data"/>
      <sheetName val="Mapping to Fids Codes"/>
      <sheetName val="P1"/>
      <sheetName val="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Instructions"/>
      <sheetName val="Control"/>
      <sheetName val="Validation Rules Check"/>
      <sheetName val="1.50.0"/>
      <sheetName val="1.50.1"/>
      <sheetName val="1.51.0"/>
      <sheetName val="1.51.1"/>
      <sheetName val="1.51.2"/>
      <sheetName val="1.51.3"/>
      <sheetName val="1.51.5"/>
      <sheetName val="1.51.6"/>
      <sheetName val="1.51.7"/>
      <sheetName val="1.52.0"/>
      <sheetName val="1.54.0"/>
      <sheetName val="1.56.0"/>
      <sheetName val="PY 1.50.0"/>
      <sheetName val="PY 1.50.1"/>
      <sheetName val="PY 1.51.0"/>
      <sheetName val="PY 1.51.1"/>
      <sheetName val="PY 1.51.2"/>
      <sheetName val="PY 1.51.3"/>
      <sheetName val="PY 1.51.5"/>
      <sheetName val="PY 1.51.6"/>
      <sheetName val="PY 1.51.7"/>
      <sheetName val="PY 1.52.0"/>
      <sheetName val="PY 1.54.0"/>
      <sheetName val="PY 1.56.0"/>
      <sheetName val="Cashflow"/>
      <sheetName val="Land&amp;Build-Ian Dennis Data"/>
      <sheetName val="assets"/>
      <sheetName val="Fids Data"/>
      <sheetName val="Mapping to Fids Codes"/>
      <sheetName val="P1"/>
      <sheetName val="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e Kiwi Park Model "/>
      <sheetName val="Inputs"/>
      <sheetName val="Title Page"/>
      <sheetName val="Index Page"/>
      <sheetName val="Statement of Responsibility"/>
      <sheetName val="St of Comprehensive Rev. &amp; Exp."/>
      <sheetName val="St of Ch in net Assets &amp; Equity"/>
      <sheetName val="Statement of Financial Position"/>
      <sheetName val="Statement of Cash Flows"/>
      <sheetName val="St of Accounting Policies"/>
      <sheetName val="Notes &amp; Disclosures"/>
      <sheetName val="Guidance - General"/>
      <sheetName val="Guidance - Specific Disclosures"/>
      <sheetName val="Revenue Types"/>
      <sheetName val="Board FTE Calc"/>
      <sheetName val="Actual CF Model CY"/>
      <sheetName val="Budget CF Model CY"/>
      <sheetName val="Trial Balance Converter"/>
      <sheetName val="TB Converter - School TB"/>
      <sheetName val="Kiwi Park Data"/>
      <sheetName val="Sheet1"/>
    </sheetNames>
    <sheetDataSet>
      <sheetData sheetId="0" refreshError="1"/>
      <sheetData sheetId="1">
        <row r="3">
          <cell r="B3">
            <v>2016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or Finance"/>
      <sheetName val="Lease Workpaper"/>
      <sheetName val="Interest Workpaper"/>
      <sheetName val="Data"/>
    </sheetNames>
    <sheetDataSet>
      <sheetData sheetId="0"/>
      <sheetData sheetId="1"/>
      <sheetData sheetId="2"/>
      <sheetData sheetId="3">
        <row r="10">
          <cell r="B10">
            <v>36</v>
          </cell>
        </row>
        <row r="11">
          <cell r="B11">
            <v>12</v>
          </cell>
        </row>
        <row r="12">
          <cell r="B12">
            <v>8</v>
          </cell>
        </row>
        <row r="22">
          <cell r="B22">
            <v>877.43999999999994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ren.stobbs@blennz.school.n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M67"/>
  <sheetViews>
    <sheetView zoomScaleNormal="100" zoomScaleSheetLayoutView="100" workbookViewId="0">
      <selection activeCell="D17" sqref="D17"/>
    </sheetView>
  </sheetViews>
  <sheetFormatPr defaultColWidth="9.140625" defaultRowHeight="12.75" x14ac:dyDescent="0.2"/>
  <cols>
    <col min="1" max="1" width="13.5703125" style="52" bestFit="1" customWidth="1"/>
    <col min="2" max="2" width="16.28515625" style="52" customWidth="1"/>
    <col min="3" max="3" width="6.42578125" style="52" customWidth="1"/>
    <col min="4" max="16384" width="9.140625" style="52"/>
  </cols>
  <sheetData>
    <row r="1" spans="1:2" x14ac:dyDescent="0.2">
      <c r="A1" s="52" t="s">
        <v>779</v>
      </c>
      <c r="B1" s="83">
        <v>952</v>
      </c>
    </row>
    <row r="2" spans="1:2" x14ac:dyDescent="0.2">
      <c r="A2" s="52" t="s">
        <v>778</v>
      </c>
      <c r="B2" s="52">
        <v>2023</v>
      </c>
    </row>
    <row r="3" spans="1:2" x14ac:dyDescent="0.2">
      <c r="A3" s="52" t="s">
        <v>777</v>
      </c>
      <c r="B3" s="97" t="s">
        <v>241</v>
      </c>
    </row>
    <row r="4" spans="1:2" x14ac:dyDescent="0.2">
      <c r="B4" s="54">
        <v>45291</v>
      </c>
    </row>
    <row r="6" spans="1:2" ht="60" customHeight="1" x14ac:dyDescent="0.25">
      <c r="B6" s="53" t="s">
        <v>662</v>
      </c>
    </row>
    <row r="7" spans="1:2" x14ac:dyDescent="0.2">
      <c r="A7" s="52" t="s">
        <v>649</v>
      </c>
      <c r="B7" s="52">
        <v>2022</v>
      </c>
    </row>
    <row r="9" spans="1:2" x14ac:dyDescent="0.2">
      <c r="A9" s="52" t="s">
        <v>650</v>
      </c>
      <c r="B9" s="52">
        <v>2021</v>
      </c>
    </row>
    <row r="13" spans="1:2" x14ac:dyDescent="0.2">
      <c r="A13" s="52" t="s">
        <v>607</v>
      </c>
      <c r="B13" s="103" t="s">
        <v>684</v>
      </c>
    </row>
    <row r="16" spans="1:2" x14ac:dyDescent="0.2">
      <c r="A16" s="103" t="s">
        <v>1138</v>
      </c>
    </row>
    <row r="17" spans="1:9" x14ac:dyDescent="0.2">
      <c r="A17" s="103"/>
    </row>
    <row r="18" spans="1:9" x14ac:dyDescent="0.2">
      <c r="A18" s="103"/>
    </row>
    <row r="19" spans="1:9" x14ac:dyDescent="0.2">
      <c r="A19" s="103"/>
    </row>
    <row r="20" spans="1:9" x14ac:dyDescent="0.2">
      <c r="A20" s="103" t="s">
        <v>1139</v>
      </c>
    </row>
    <row r="21" spans="1:9" x14ac:dyDescent="0.2">
      <c r="A21" s="103" t="s">
        <v>1140</v>
      </c>
    </row>
    <row r="22" spans="1:9" x14ac:dyDescent="0.2">
      <c r="A22" s="103" t="s">
        <v>1141</v>
      </c>
    </row>
    <row r="23" spans="1:9" x14ac:dyDescent="0.2">
      <c r="A23" s="103" t="s">
        <v>1143</v>
      </c>
    </row>
    <row r="24" spans="1:9" x14ac:dyDescent="0.2">
      <c r="A24" s="103" t="s">
        <v>1502</v>
      </c>
    </row>
    <row r="25" spans="1:9" x14ac:dyDescent="0.2">
      <c r="A25" s="103" t="s">
        <v>1142</v>
      </c>
    </row>
    <row r="27" spans="1:9" x14ac:dyDescent="0.2">
      <c r="A27" s="103" t="s">
        <v>1144</v>
      </c>
    </row>
    <row r="28" spans="1:9" x14ac:dyDescent="0.2">
      <c r="A28" s="103" t="s">
        <v>1145</v>
      </c>
    </row>
    <row r="30" spans="1:9" x14ac:dyDescent="0.2">
      <c r="A30" s="103" t="s">
        <v>1146</v>
      </c>
      <c r="I30" s="103" t="s">
        <v>781</v>
      </c>
    </row>
    <row r="67" spans="13:13" x14ac:dyDescent="0.2">
      <c r="M67" s="52" t="s">
        <v>1471</v>
      </c>
    </row>
  </sheetData>
  <phoneticPr fontId="50" type="noConversion"/>
  <pageMargins left="0.39370078740157483" right="0.39370078740157483" top="0.74803149606299213" bottom="0.74803149606299213" header="0.31496062992125984" footer="0.31496062992125984"/>
  <pageSetup paperSize="9" scale="94" firstPageNumber="6" orientation="portrait" cellComments="asDisplayed" r:id="rId1"/>
  <headerFooter>
    <oddHeader>&amp;R&amp;G</oddHeader>
    <oddFooter>&amp;RPage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2:R534"/>
  <sheetViews>
    <sheetView showGridLines="0" zoomScale="85" zoomScaleNormal="85" zoomScaleSheetLayoutView="100" workbookViewId="0">
      <selection activeCell="T317" sqref="T317"/>
    </sheetView>
  </sheetViews>
  <sheetFormatPr defaultColWidth="8.85546875" defaultRowHeight="15.75" customHeight="1" x14ac:dyDescent="0.2"/>
  <cols>
    <col min="1" max="1" width="6.85546875" style="77" customWidth="1"/>
    <col min="2" max="2" width="38.140625" style="77" customWidth="1"/>
    <col min="3" max="3" width="27.140625" customWidth="1"/>
    <col min="4" max="4" width="13.140625" customWidth="1"/>
    <col min="5" max="5" width="12.42578125" customWidth="1"/>
    <col min="6" max="6" width="12.7109375" style="2" customWidth="1"/>
    <col min="7" max="7" width="15.140625" style="2" customWidth="1"/>
    <col min="8" max="8" width="17.140625" style="2" customWidth="1"/>
    <col min="9" max="9" width="5" customWidth="1"/>
    <col min="10" max="12" width="10.28515625" bestFit="1" customWidth="1"/>
    <col min="15" max="15" width="31.85546875" customWidth="1"/>
  </cols>
  <sheetData>
    <row r="2" spans="1:16" s="9" customFormat="1" ht="15.75" customHeight="1" x14ac:dyDescent="0.2">
      <c r="A2" s="78">
        <v>2</v>
      </c>
      <c r="B2" s="78" t="s">
        <v>191</v>
      </c>
      <c r="F2" s="67"/>
      <c r="G2" s="67"/>
      <c r="H2" s="10"/>
    </row>
    <row r="3" spans="1:16" s="16" customFormat="1" ht="15.75" customHeight="1" x14ac:dyDescent="0.2">
      <c r="B3" s="22"/>
      <c r="F3" s="1">
        <f>'Comprehensive Income'!$C$5</f>
        <v>2023</v>
      </c>
      <c r="G3" s="43">
        <f>'Comprehensive Income'!$D$5</f>
        <v>2023</v>
      </c>
      <c r="H3" s="43">
        <f>'Comprehensive Income'!$E$5</f>
        <v>2022</v>
      </c>
    </row>
    <row r="4" spans="1:16" s="16" customFormat="1" ht="15.75" customHeight="1" x14ac:dyDescent="0.2">
      <c r="A4" s="66"/>
      <c r="B4" s="50"/>
      <c r="F4" s="68" t="s">
        <v>606</v>
      </c>
      <c r="G4" s="68" t="s">
        <v>607</v>
      </c>
      <c r="H4" s="68" t="s">
        <v>606</v>
      </c>
    </row>
    <row r="5" spans="1:16" s="16" customFormat="1" ht="15.75" customHeight="1" x14ac:dyDescent="0.2">
      <c r="A5" s="66"/>
      <c r="B5" s="50"/>
      <c r="F5" s="68"/>
      <c r="G5" s="73" t="s">
        <v>226</v>
      </c>
      <c r="H5" s="68"/>
    </row>
    <row r="6" spans="1:16" s="16" customFormat="1" ht="15.75" customHeight="1" x14ac:dyDescent="0.2">
      <c r="A6" s="66"/>
      <c r="B6" s="50"/>
      <c r="F6" s="68" t="s">
        <v>605</v>
      </c>
      <c r="G6" s="68" t="s">
        <v>605</v>
      </c>
      <c r="H6" s="68" t="s">
        <v>605</v>
      </c>
    </row>
    <row r="7" spans="1:16" s="16" customFormat="1" ht="15.75" customHeight="1" x14ac:dyDescent="0.2">
      <c r="A7" s="76"/>
      <c r="B7" s="66" t="s">
        <v>631</v>
      </c>
      <c r="F7" s="85">
        <f>'Codes allocation'!D5</f>
        <v>2080319</v>
      </c>
      <c r="G7" s="86">
        <f>+'Codes allocation'!F5</f>
        <v>1098533</v>
      </c>
      <c r="H7" s="177">
        <f>+'Codes allocation'!H5</f>
        <v>1244333</v>
      </c>
      <c r="I7" s="84"/>
      <c r="J7" s="84" t="s">
        <v>684</v>
      </c>
    </row>
    <row r="8" spans="1:16" s="16" customFormat="1" ht="15.75" customHeight="1" x14ac:dyDescent="0.2">
      <c r="A8" s="76"/>
      <c r="B8" s="66" t="s">
        <v>664</v>
      </c>
      <c r="D8" s="24"/>
      <c r="F8" s="85">
        <f>'Codes allocation'!D7</f>
        <v>1749418</v>
      </c>
      <c r="G8" s="86">
        <f>+'Codes allocation'!F7</f>
        <v>1749418</v>
      </c>
      <c r="H8" s="177">
        <f>+'Codes allocation'!H7</f>
        <v>1702598</v>
      </c>
      <c r="I8" s="84"/>
      <c r="J8" s="84" t="s">
        <v>559</v>
      </c>
    </row>
    <row r="9" spans="1:16" s="16" customFormat="1" ht="15.75" customHeight="1" x14ac:dyDescent="0.2">
      <c r="A9" s="76"/>
      <c r="B9" s="77" t="s">
        <v>665</v>
      </c>
      <c r="F9" s="85">
        <f>'Codes allocation'!D10</f>
        <v>1313864</v>
      </c>
      <c r="G9" s="86">
        <f>+'Codes allocation'!F10</f>
        <v>1549197</v>
      </c>
      <c r="H9" s="177">
        <f>+'Codes allocation'!H10</f>
        <v>1507736</v>
      </c>
      <c r="I9" s="84"/>
      <c r="J9" s="84" t="s">
        <v>560</v>
      </c>
      <c r="K9" s="169"/>
      <c r="L9" s="169"/>
      <c r="M9" s="169"/>
      <c r="N9" s="169"/>
      <c r="O9" s="169"/>
      <c r="P9" s="169"/>
    </row>
    <row r="10" spans="1:16" s="16" customFormat="1" ht="15.75" customHeight="1" x14ac:dyDescent="0.2">
      <c r="A10" s="76"/>
      <c r="B10" s="77" t="s">
        <v>666</v>
      </c>
      <c r="F10" s="85">
        <f>'Codes allocation'!D12</f>
        <v>912637</v>
      </c>
      <c r="G10" s="86">
        <f>+'Codes allocation'!F12</f>
        <v>912628</v>
      </c>
      <c r="H10" s="177">
        <f>+'Codes allocation'!H12</f>
        <v>885605</v>
      </c>
      <c r="I10" s="84"/>
      <c r="J10" s="84" t="s">
        <v>561</v>
      </c>
      <c r="K10" s="169"/>
      <c r="L10" s="169"/>
      <c r="M10" s="169"/>
      <c r="N10" s="169"/>
      <c r="O10" s="169"/>
      <c r="P10" s="169"/>
    </row>
    <row r="11" spans="1:16" s="16" customFormat="1" ht="15.75" customHeight="1" x14ac:dyDescent="0.2">
      <c r="A11" s="76"/>
      <c r="B11" s="77" t="s">
        <v>667</v>
      </c>
      <c r="F11" s="85">
        <f>'Codes allocation'!D16</f>
        <v>14095366</v>
      </c>
      <c r="G11" s="86">
        <f>+'Codes allocation'!F16</f>
        <v>12500000</v>
      </c>
      <c r="H11" s="177">
        <f>+'Codes allocation'!H16</f>
        <v>12873789</v>
      </c>
      <c r="I11" s="84"/>
      <c r="J11" s="84" t="s">
        <v>742</v>
      </c>
      <c r="K11" s="169"/>
      <c r="L11" s="169"/>
      <c r="M11" s="169"/>
      <c r="N11" s="169"/>
      <c r="O11" s="169"/>
      <c r="P11" s="169"/>
    </row>
    <row r="12" spans="1:16" s="16" customFormat="1" ht="15.75" customHeight="1" x14ac:dyDescent="0.2">
      <c r="A12" s="76"/>
      <c r="B12" s="77" t="s">
        <v>668</v>
      </c>
      <c r="F12" s="85">
        <f>'Codes allocation'!D22</f>
        <v>1143200</v>
      </c>
      <c r="G12" s="86">
        <f>+'Codes allocation'!F22</f>
        <v>1146654</v>
      </c>
      <c r="H12" s="177">
        <f>+'Codes allocation'!H22</f>
        <v>1084396</v>
      </c>
      <c r="I12" s="84"/>
      <c r="J12" s="84" t="s">
        <v>743</v>
      </c>
      <c r="K12" s="169"/>
      <c r="L12" s="172"/>
      <c r="M12" s="169"/>
      <c r="N12" s="169"/>
      <c r="O12" s="169"/>
      <c r="P12" s="169"/>
    </row>
    <row r="13" spans="1:16" s="16" customFormat="1" ht="15.75" customHeight="1" x14ac:dyDescent="0.2">
      <c r="A13" s="76"/>
      <c r="B13" s="77" t="s">
        <v>669</v>
      </c>
      <c r="F13" s="85">
        <f>'Codes allocation'!D24</f>
        <v>16984</v>
      </c>
      <c r="G13" s="86">
        <f>+'Codes allocation'!F24</f>
        <v>17065</v>
      </c>
      <c r="H13" s="177">
        <f>+'Codes allocation'!H24</f>
        <v>16529</v>
      </c>
      <c r="I13" s="84"/>
      <c r="J13" s="84" t="s">
        <v>744</v>
      </c>
      <c r="K13" s="169"/>
      <c r="L13" s="169"/>
      <c r="M13" s="169"/>
      <c r="N13" s="169"/>
      <c r="O13" s="169"/>
      <c r="P13" s="169"/>
    </row>
    <row r="14" spans="1:16" s="16" customFormat="1" ht="15.75" customHeight="1" x14ac:dyDescent="0.2">
      <c r="A14" s="76"/>
      <c r="B14" s="77" t="s">
        <v>670</v>
      </c>
      <c r="F14" s="85">
        <f>'Codes allocation'!D26</f>
        <v>638272</v>
      </c>
      <c r="G14" s="86">
        <f>+'Codes allocation'!F26</f>
        <v>638273</v>
      </c>
      <c r="H14" s="177">
        <f>+'Codes allocation'!H26</f>
        <v>621188</v>
      </c>
      <c r="I14" s="84"/>
      <c r="J14" s="84" t="s">
        <v>745</v>
      </c>
      <c r="K14" s="169"/>
      <c r="L14" s="169"/>
      <c r="M14" s="169"/>
      <c r="N14" s="169"/>
      <c r="O14" s="169"/>
      <c r="P14" s="169"/>
    </row>
    <row r="15" spans="1:16" s="16" customFormat="1" ht="15.75" customHeight="1" x14ac:dyDescent="0.2">
      <c r="A15" s="76"/>
      <c r="B15" s="66" t="s">
        <v>686</v>
      </c>
      <c r="F15" s="85">
        <f>'Codes allocation'!D28</f>
        <v>1295678</v>
      </c>
      <c r="G15" s="86">
        <f>+'Codes allocation'!F28</f>
        <v>1293055</v>
      </c>
      <c r="H15" s="177">
        <f>+'Codes allocation'!H28</f>
        <v>1108329</v>
      </c>
      <c r="I15" s="84"/>
      <c r="J15" s="84" t="s">
        <v>747</v>
      </c>
      <c r="K15" s="169"/>
      <c r="L15" s="169"/>
      <c r="M15" s="169"/>
      <c r="N15" s="169"/>
      <c r="O15" s="169"/>
      <c r="P15" s="169"/>
    </row>
    <row r="16" spans="1:16" s="16" customFormat="1" ht="15.75" customHeight="1" x14ac:dyDescent="0.2">
      <c r="A16" s="76"/>
      <c r="B16" s="77" t="s">
        <v>671</v>
      </c>
      <c r="F16" s="85">
        <f>'Codes allocation'!D30</f>
        <v>2193217</v>
      </c>
      <c r="G16" s="86">
        <f>+'Codes allocation'!F30</f>
        <v>1420415</v>
      </c>
      <c r="H16" s="86">
        <f>+'Codes allocation'!H30</f>
        <v>1633477</v>
      </c>
      <c r="I16" s="84"/>
      <c r="J16" s="84" t="s">
        <v>749</v>
      </c>
      <c r="K16" s="169"/>
      <c r="L16" s="172"/>
      <c r="M16" s="169"/>
      <c r="N16" s="169"/>
      <c r="O16" s="169"/>
      <c r="P16" s="169"/>
    </row>
    <row r="17" spans="1:16" s="16" customFormat="1" ht="15.75" customHeight="1" x14ac:dyDescent="0.2">
      <c r="A17" s="76"/>
      <c r="B17" s="66" t="s">
        <v>1742</v>
      </c>
      <c r="F17" s="323">
        <f>'Codes allocation'!D45</f>
        <v>1654463</v>
      </c>
      <c r="G17" s="323">
        <f>+'Codes allocation'!F45</f>
        <v>1457869</v>
      </c>
      <c r="H17" s="177">
        <f>+'Codes allocation'!H45</f>
        <v>1260103</v>
      </c>
      <c r="I17" s="84"/>
      <c r="J17" s="84" t="s">
        <v>750</v>
      </c>
      <c r="K17" s="520"/>
      <c r="L17" s="520"/>
      <c r="M17" s="520"/>
      <c r="N17" s="172"/>
      <c r="O17" s="173"/>
      <c r="P17" s="173"/>
    </row>
    <row r="18" spans="1:16" s="16" customFormat="1" ht="15.75" customHeight="1" x14ac:dyDescent="0.2">
      <c r="A18" s="76"/>
      <c r="B18" s="66"/>
      <c r="F18" s="85">
        <f>SUM(F7:F17)</f>
        <v>27093418</v>
      </c>
      <c r="G18" s="86">
        <f>SUM(G7:G17)</f>
        <v>23783107</v>
      </c>
      <c r="H18" s="324">
        <f>SUM(H7:H17)</f>
        <v>23938083</v>
      </c>
      <c r="I18" s="24"/>
      <c r="J18" s="24"/>
    </row>
    <row r="19" spans="1:16" s="16" customFormat="1" ht="15.75" customHeight="1" x14ac:dyDescent="0.2">
      <c r="A19" s="76"/>
      <c r="B19" s="66"/>
      <c r="F19" s="85"/>
      <c r="G19" s="86"/>
      <c r="H19" s="177"/>
      <c r="I19" s="24"/>
      <c r="J19" s="24"/>
    </row>
    <row r="20" spans="1:16" s="16" customFormat="1" ht="15.75" hidden="1" customHeight="1" x14ac:dyDescent="0.2">
      <c r="A20" s="76"/>
      <c r="B20" s="66" t="s">
        <v>1469</v>
      </c>
      <c r="F20" s="85"/>
      <c r="G20" s="86"/>
      <c r="H20" s="177"/>
      <c r="I20" s="24"/>
      <c r="J20" s="24"/>
    </row>
    <row r="21" spans="1:16" s="16" customFormat="1" ht="15.75" customHeight="1" x14ac:dyDescent="0.2">
      <c r="A21" s="66"/>
      <c r="B21" s="66"/>
      <c r="F21" s="27"/>
      <c r="G21" s="27"/>
      <c r="H21" s="27"/>
      <c r="L21" s="218"/>
    </row>
    <row r="22" spans="1:16" s="9" customFormat="1" ht="15.75" customHeight="1" x14ac:dyDescent="0.2">
      <c r="A22" s="78">
        <f>A2+1</f>
        <v>3</v>
      </c>
      <c r="B22" s="78" t="s">
        <v>236</v>
      </c>
      <c r="F22" s="67"/>
      <c r="G22" s="67"/>
      <c r="H22" s="67"/>
    </row>
    <row r="23" spans="1:16" s="16" customFormat="1" ht="15.75" customHeight="1" x14ac:dyDescent="0.2">
      <c r="A23" s="66"/>
      <c r="B23" s="325" t="s">
        <v>626</v>
      </c>
      <c r="F23" s="43">
        <f>'Comprehensive Income'!$C$5</f>
        <v>2023</v>
      </c>
      <c r="G23" s="43">
        <f>'Comprehensive Income'!$D$5</f>
        <v>2023</v>
      </c>
      <c r="H23" s="43">
        <f>'Comprehensive Income'!$E$5</f>
        <v>2022</v>
      </c>
    </row>
    <row r="24" spans="1:16" s="16" customFormat="1" ht="15.75" customHeight="1" x14ac:dyDescent="0.2">
      <c r="A24" s="66"/>
      <c r="B24" s="66"/>
      <c r="F24" s="68" t="s">
        <v>606</v>
      </c>
      <c r="G24" s="68" t="s">
        <v>607</v>
      </c>
      <c r="H24" s="68" t="s">
        <v>606</v>
      </c>
    </row>
    <row r="25" spans="1:16" s="16" customFormat="1" ht="15.75" customHeight="1" x14ac:dyDescent="0.2">
      <c r="A25" s="66"/>
      <c r="B25" s="66"/>
      <c r="F25" s="68"/>
      <c r="G25" s="73" t="s">
        <v>226</v>
      </c>
      <c r="H25" s="68"/>
    </row>
    <row r="26" spans="1:16" s="16" customFormat="1" ht="15.75" customHeight="1" x14ac:dyDescent="0.2">
      <c r="A26" s="66"/>
      <c r="B26" s="312" t="s">
        <v>187</v>
      </c>
      <c r="C26"/>
      <c r="D26" s="4"/>
      <c r="F26" s="68" t="s">
        <v>605</v>
      </c>
      <c r="G26" s="68" t="s">
        <v>605</v>
      </c>
      <c r="H26" s="68" t="s">
        <v>605</v>
      </c>
      <c r="O26" s="16" t="s">
        <v>781</v>
      </c>
    </row>
    <row r="27" spans="1:16" s="16" customFormat="1" ht="15.75" customHeight="1" x14ac:dyDescent="0.2">
      <c r="A27" s="76"/>
      <c r="B27" s="66" t="s">
        <v>1519</v>
      </c>
      <c r="C27"/>
      <c r="D27" s="4"/>
      <c r="F27" s="17">
        <f>+'Codes allocation'!D57</f>
        <v>100</v>
      </c>
      <c r="G27" s="379">
        <f>+'Codes allocation'!F57</f>
        <v>0</v>
      </c>
      <c r="H27" s="17">
        <f>+'Codes allocation'!H57</f>
        <v>300</v>
      </c>
      <c r="I27" s="24"/>
    </row>
    <row r="28" spans="1:16" s="16" customFormat="1" ht="15.75" hidden="1" customHeight="1" x14ac:dyDescent="0.2">
      <c r="A28" s="76"/>
      <c r="B28" s="77" t="s">
        <v>240</v>
      </c>
      <c r="C28"/>
      <c r="D28" s="4"/>
      <c r="F28" s="27" t="s">
        <v>622</v>
      </c>
      <c r="G28" s="27" t="s">
        <v>622</v>
      </c>
      <c r="H28" s="27" t="s">
        <v>622</v>
      </c>
      <c r="I28" s="24"/>
    </row>
    <row r="29" spans="1:16" s="16" customFormat="1" ht="15.75" customHeight="1" x14ac:dyDescent="0.2">
      <c r="A29" s="76"/>
      <c r="B29" s="66" t="s">
        <v>1520</v>
      </c>
      <c r="C29"/>
      <c r="D29" s="4"/>
      <c r="F29" s="17">
        <f>+'Codes allocation'!D63</f>
        <v>18798</v>
      </c>
      <c r="G29" s="17">
        <f>+'Codes allocation'!F63</f>
        <v>21000</v>
      </c>
      <c r="H29" s="17">
        <f>+'Codes allocation'!H63</f>
        <v>12701</v>
      </c>
    </row>
    <row r="30" spans="1:16" s="16" customFormat="1" ht="14.25" customHeight="1" x14ac:dyDescent="0.2">
      <c r="A30" s="76"/>
      <c r="B30" s="66" t="s">
        <v>1545</v>
      </c>
      <c r="C30"/>
      <c r="D30" s="4"/>
      <c r="F30" s="17">
        <f>+'Codes allocation'!D79</f>
        <v>20726</v>
      </c>
      <c r="G30" s="17">
        <f>+'Codes allocation'!F79</f>
        <v>26000</v>
      </c>
      <c r="H30" s="17">
        <f>+'Codes allocation'!H79</f>
        <v>9652</v>
      </c>
    </row>
    <row r="31" spans="1:16" s="16" customFormat="1" ht="15.75" customHeight="1" x14ac:dyDescent="0.2">
      <c r="A31" s="76"/>
      <c r="B31" s="77" t="s">
        <v>765</v>
      </c>
      <c r="C31"/>
      <c r="D31" s="4"/>
      <c r="F31" s="17">
        <f>+'Codes allocation'!D106</f>
        <v>153080</v>
      </c>
      <c r="G31" s="17">
        <f>+'Codes allocation'!F106</f>
        <v>122850</v>
      </c>
      <c r="H31" s="326">
        <f>+'Codes allocation'!H106</f>
        <v>184771</v>
      </c>
    </row>
    <row r="32" spans="1:16" s="16" customFormat="1" ht="15.75" customHeight="1" x14ac:dyDescent="0.2">
      <c r="A32" s="66"/>
      <c r="B32" s="312"/>
      <c r="C32" s="5"/>
      <c r="D32" s="20"/>
      <c r="E32" s="5"/>
      <c r="F32" s="327">
        <f>SUM(F27:F31)</f>
        <v>192704</v>
      </c>
      <c r="G32" s="327">
        <f>SUM(G27:G31)</f>
        <v>169850</v>
      </c>
      <c r="H32" s="17">
        <f>SUM(H27:H31)</f>
        <v>207424</v>
      </c>
      <c r="I32" s="5"/>
      <c r="J32" s="20"/>
      <c r="K32" s="5"/>
      <c r="L32" s="5"/>
    </row>
    <row r="33" spans="1:12" ht="15.75" customHeight="1" x14ac:dyDescent="0.2">
      <c r="B33" s="312" t="s">
        <v>1706</v>
      </c>
      <c r="C33" s="5"/>
      <c r="D33" s="5"/>
      <c r="E33" s="5"/>
      <c r="F33" s="62"/>
      <c r="G33" s="62"/>
      <c r="H33" s="62"/>
      <c r="I33" s="20"/>
      <c r="J33" s="5"/>
      <c r="K33" s="5"/>
      <c r="L33" s="5"/>
    </row>
    <row r="34" spans="1:12" ht="15.75" customHeight="1" x14ac:dyDescent="0.2">
      <c r="B34" s="66" t="s">
        <v>1521</v>
      </c>
      <c r="C34" s="5"/>
      <c r="D34" s="5"/>
      <c r="E34" s="5"/>
      <c r="F34" s="17">
        <f>+'Codes allocation'!D66</f>
        <v>3655</v>
      </c>
      <c r="G34" s="170">
        <f>+'Codes allocation'!F66</f>
        <v>0</v>
      </c>
      <c r="H34" s="17">
        <f>+'Codes allocation'!H66</f>
        <v>7649</v>
      </c>
      <c r="I34" s="20"/>
      <c r="J34" s="5"/>
      <c r="K34" s="5"/>
      <c r="L34" s="5"/>
    </row>
    <row r="35" spans="1:12" ht="16.5" hidden="1" customHeight="1" x14ac:dyDescent="0.2">
      <c r="B35" s="76"/>
      <c r="C35" s="5"/>
      <c r="D35" s="5"/>
      <c r="E35" s="5"/>
      <c r="F35" s="17"/>
      <c r="G35" s="17"/>
      <c r="H35" s="326"/>
      <c r="I35" s="20"/>
      <c r="J35" s="5"/>
      <c r="K35" s="5"/>
      <c r="L35" s="5"/>
    </row>
    <row r="36" spans="1:12" ht="15.75" hidden="1" customHeight="1" x14ac:dyDescent="0.2">
      <c r="B36" s="76" t="s">
        <v>1523</v>
      </c>
      <c r="C36" s="5"/>
      <c r="D36" s="5"/>
      <c r="E36" s="5"/>
      <c r="F36" s="17">
        <f>+'Codes allocation'!D81</f>
        <v>0</v>
      </c>
      <c r="G36" s="17">
        <f>+'Codes allocation'!F81</f>
        <v>0</v>
      </c>
      <c r="H36" s="17">
        <f>+'Codes allocation'!H81</f>
        <v>0</v>
      </c>
      <c r="I36" s="20"/>
      <c r="J36" s="5"/>
      <c r="K36" s="5"/>
      <c r="L36" s="5"/>
    </row>
    <row r="37" spans="1:12" ht="15.75" customHeight="1" x14ac:dyDescent="0.2">
      <c r="B37" s="66" t="s">
        <v>1546</v>
      </c>
      <c r="C37" s="5"/>
      <c r="D37" s="5"/>
      <c r="E37" s="5"/>
      <c r="F37" s="17">
        <f>+'Codes allocation'!D131</f>
        <v>115639</v>
      </c>
      <c r="G37" s="17">
        <f>+'Codes allocation'!F131</f>
        <v>122850</v>
      </c>
      <c r="H37" s="326">
        <f>+'Codes allocation'!H131</f>
        <v>99780</v>
      </c>
      <c r="I37" s="20"/>
      <c r="J37" s="5"/>
      <c r="K37" s="5"/>
      <c r="L37" s="149"/>
    </row>
    <row r="38" spans="1:12" ht="15.75" customHeight="1" x14ac:dyDescent="0.2">
      <c r="B38" s="66"/>
      <c r="C38" s="5"/>
      <c r="D38" s="5"/>
      <c r="E38" s="5"/>
      <c r="F38" s="327">
        <f>SUM(F34:F37)</f>
        <v>119294</v>
      </c>
      <c r="G38" s="327">
        <f>SUM(G34:G37)</f>
        <v>122850</v>
      </c>
      <c r="H38" s="17">
        <f>SUM(H34:H37)</f>
        <v>107429</v>
      </c>
      <c r="I38" s="20"/>
      <c r="J38" s="5"/>
      <c r="K38" s="5"/>
      <c r="L38" s="5"/>
    </row>
    <row r="39" spans="1:12" ht="15.75" customHeight="1" x14ac:dyDescent="0.2">
      <c r="B39" s="76"/>
      <c r="C39" s="5"/>
      <c r="D39" s="5"/>
      <c r="E39" s="5"/>
      <c r="F39" s="62"/>
      <c r="G39" s="62"/>
      <c r="H39" s="62"/>
      <c r="I39" s="20"/>
      <c r="J39" s="5"/>
      <c r="K39" s="5"/>
      <c r="L39" s="5"/>
    </row>
    <row r="40" spans="1:12" ht="15.75" customHeight="1" thickBot="1" x14ac:dyDescent="0.25">
      <c r="B40" s="312" t="s">
        <v>1743</v>
      </c>
      <c r="C40" s="5"/>
      <c r="D40" s="5"/>
      <c r="E40" s="5"/>
      <c r="F40" s="328">
        <f>+F32-F38</f>
        <v>73410</v>
      </c>
      <c r="G40" s="328">
        <f>+G32-G38</f>
        <v>47000</v>
      </c>
      <c r="H40" s="328">
        <f>(+H32-H38)</f>
        <v>99995</v>
      </c>
      <c r="I40" s="20"/>
      <c r="J40" s="5"/>
      <c r="K40" s="5"/>
      <c r="L40" s="5"/>
    </row>
    <row r="41" spans="1:12" ht="15.75" customHeight="1" x14ac:dyDescent="0.2">
      <c r="B41" s="312"/>
      <c r="C41" s="5"/>
      <c r="D41" s="5"/>
      <c r="E41" s="5"/>
      <c r="F41" s="62"/>
      <c r="G41" s="62"/>
      <c r="H41" s="62"/>
      <c r="I41" s="20"/>
      <c r="J41" s="5"/>
      <c r="K41" s="5"/>
      <c r="L41" s="5"/>
    </row>
    <row r="42" spans="1:12" s="9" customFormat="1" ht="15.75" customHeight="1" x14ac:dyDescent="0.2">
      <c r="A42" s="78">
        <f>+A22+1</f>
        <v>4</v>
      </c>
      <c r="B42" s="78" t="s">
        <v>977</v>
      </c>
      <c r="F42" s="329"/>
      <c r="G42" s="67"/>
      <c r="H42" s="67"/>
      <c r="K42" s="16"/>
    </row>
    <row r="43" spans="1:12" s="23" customFormat="1" ht="15.75" customHeight="1" x14ac:dyDescent="0.2">
      <c r="A43" s="81"/>
      <c r="B43" s="81"/>
      <c r="F43" s="43">
        <f>'Comprehensive Income'!$C$5</f>
        <v>2023</v>
      </c>
      <c r="G43" s="43">
        <f>'Comprehensive Income'!$D$5</f>
        <v>2023</v>
      </c>
      <c r="H43" s="43">
        <f>'Comprehensive Income'!$E$5</f>
        <v>2022</v>
      </c>
      <c r="K43" s="16"/>
    </row>
    <row r="44" spans="1:12" s="16" customFormat="1" ht="15.75" customHeight="1" x14ac:dyDescent="0.2">
      <c r="A44" s="66"/>
      <c r="B44" s="50"/>
      <c r="F44" s="68" t="s">
        <v>606</v>
      </c>
      <c r="G44" s="68" t="s">
        <v>607</v>
      </c>
      <c r="H44" s="68" t="s">
        <v>606</v>
      </c>
    </row>
    <row r="45" spans="1:12" s="16" customFormat="1" ht="15.75" customHeight="1" x14ac:dyDescent="0.2">
      <c r="A45" s="66"/>
      <c r="B45" s="50"/>
      <c r="F45" s="68"/>
      <c r="G45" s="73" t="s">
        <v>226</v>
      </c>
      <c r="H45" s="68"/>
    </row>
    <row r="46" spans="1:12" s="16" customFormat="1" ht="15.75" customHeight="1" x14ac:dyDescent="0.2">
      <c r="A46" s="66"/>
      <c r="B46" s="50"/>
      <c r="F46" s="68" t="s">
        <v>605</v>
      </c>
      <c r="G46" s="68" t="s">
        <v>605</v>
      </c>
      <c r="H46" s="68" t="s">
        <v>605</v>
      </c>
    </row>
    <row r="47" spans="1:12" s="16" customFormat="1" ht="15.75" customHeight="1" x14ac:dyDescent="0.2">
      <c r="A47" s="77"/>
      <c r="B47" s="16" t="s">
        <v>617</v>
      </c>
      <c r="F47" s="17">
        <f>+'Codes allocation'!D181</f>
        <v>282583</v>
      </c>
      <c r="G47" s="17">
        <f>+'Codes allocation'!F181</f>
        <v>286180</v>
      </c>
      <c r="H47" s="17">
        <f>+'Codes allocation'!H181</f>
        <v>47921</v>
      </c>
      <c r="L47" s="16" t="s">
        <v>781</v>
      </c>
    </row>
    <row r="48" spans="1:12" ht="15.75" customHeight="1" x14ac:dyDescent="0.2">
      <c r="A48" s="76"/>
      <c r="B48" s="16" t="s">
        <v>122</v>
      </c>
      <c r="F48" s="17">
        <f>+'Codes allocation'!D184</f>
        <v>6567</v>
      </c>
      <c r="G48" s="17">
        <f>+'Codes allocation'!F184</f>
        <v>8000</v>
      </c>
      <c r="H48" s="17">
        <f>+'Codes allocation'!H184</f>
        <v>4626</v>
      </c>
    </row>
    <row r="49" spans="1:13" ht="15.75" customHeight="1" x14ac:dyDescent="0.2">
      <c r="A49" s="76"/>
      <c r="B49" s="16" t="s">
        <v>633</v>
      </c>
      <c r="F49" s="17">
        <f>+'Codes allocation'!D197</f>
        <v>13833011</v>
      </c>
      <c r="G49" s="17">
        <f>+'Codes allocation'!F197</f>
        <v>12689176</v>
      </c>
      <c r="H49" s="17">
        <f>+'Codes allocation'!H197</f>
        <v>12497749</v>
      </c>
    </row>
    <row r="50" spans="1:13" ht="15.75" customHeight="1" x14ac:dyDescent="0.2">
      <c r="A50" s="76"/>
      <c r="B50" s="16" t="s">
        <v>634</v>
      </c>
      <c r="F50" s="17">
        <f>+'Codes allocation'!D203</f>
        <v>22623</v>
      </c>
      <c r="G50" s="17">
        <f>+'Codes allocation'!F203</f>
        <v>30000</v>
      </c>
      <c r="H50" s="17">
        <f>+'Codes allocation'!H203</f>
        <v>16703</v>
      </c>
      <c r="I50" s="4"/>
    </row>
    <row r="51" spans="1:13" ht="15.75" customHeight="1" x14ac:dyDescent="0.2">
      <c r="A51" s="76"/>
      <c r="B51" s="76"/>
      <c r="F51" s="17"/>
      <c r="G51" s="17"/>
      <c r="H51" s="17"/>
      <c r="I51" s="104"/>
      <c r="J51" s="139"/>
    </row>
    <row r="52" spans="1:13" ht="15.75" customHeight="1" x14ac:dyDescent="0.2">
      <c r="F52" s="46">
        <f>SUM(F47:F51)</f>
        <v>14144784</v>
      </c>
      <c r="G52" s="46">
        <f>SUM(G47:G51)</f>
        <v>13013356</v>
      </c>
      <c r="H52" s="46">
        <f>SUM(H47:H51)</f>
        <v>12566999</v>
      </c>
      <c r="I52" s="18"/>
      <c r="J52" s="131"/>
      <c r="K52" s="18"/>
    </row>
    <row r="53" spans="1:13" ht="15.75" customHeight="1" x14ac:dyDescent="0.2">
      <c r="F53" s="17"/>
      <c r="G53" s="17"/>
      <c r="H53" s="17"/>
      <c r="I53" s="18"/>
      <c r="J53" s="131"/>
      <c r="K53" s="18"/>
    </row>
    <row r="54" spans="1:13" s="9" customFormat="1" ht="15.75" customHeight="1" x14ac:dyDescent="0.2">
      <c r="A54" s="78">
        <v>5</v>
      </c>
      <c r="B54" s="78" t="s">
        <v>988</v>
      </c>
      <c r="F54" s="329"/>
      <c r="G54" s="67"/>
      <c r="H54" s="67"/>
      <c r="K54" s="16"/>
    </row>
    <row r="55" spans="1:13" s="23" customFormat="1" ht="15.75" customHeight="1" x14ac:dyDescent="0.2">
      <c r="A55" s="81"/>
      <c r="B55" s="81"/>
      <c r="F55" s="43">
        <f>'Comprehensive Income'!$C$5</f>
        <v>2023</v>
      </c>
      <c r="G55" s="43">
        <f>'Comprehensive Income'!$D$5</f>
        <v>2023</v>
      </c>
      <c r="H55" s="43">
        <f>'Comprehensive Income'!$E$5</f>
        <v>2022</v>
      </c>
      <c r="K55" s="16"/>
    </row>
    <row r="56" spans="1:13" s="16" customFormat="1" ht="15.75" customHeight="1" x14ac:dyDescent="0.2">
      <c r="A56" s="66"/>
      <c r="B56" s="50"/>
      <c r="F56" s="68" t="s">
        <v>606</v>
      </c>
      <c r="G56" s="68" t="s">
        <v>607</v>
      </c>
      <c r="H56" s="68" t="s">
        <v>606</v>
      </c>
    </row>
    <row r="57" spans="1:13" s="16" customFormat="1" ht="15.75" customHeight="1" x14ac:dyDescent="0.2">
      <c r="A57" s="66"/>
      <c r="B57" s="50"/>
      <c r="F57" s="68"/>
      <c r="G57" s="73" t="s">
        <v>226</v>
      </c>
      <c r="H57" s="68"/>
    </row>
    <row r="58" spans="1:13" s="16" customFormat="1" ht="15.75" customHeight="1" x14ac:dyDescent="0.2">
      <c r="A58" s="66"/>
      <c r="B58" s="50"/>
      <c r="F58" s="68" t="s">
        <v>605</v>
      </c>
      <c r="G58" s="68" t="s">
        <v>605</v>
      </c>
      <c r="H58" s="68" t="s">
        <v>605</v>
      </c>
    </row>
    <row r="59" spans="1:13" s="16" customFormat="1" ht="15.75" customHeight="1" x14ac:dyDescent="0.2">
      <c r="A59" s="77"/>
      <c r="B59" s="16" t="s">
        <v>617</v>
      </c>
      <c r="F59" s="17">
        <f>+'Codes allocation'!D236</f>
        <v>388184</v>
      </c>
      <c r="G59" s="17">
        <f>+'Codes allocation'!F236</f>
        <v>463297</v>
      </c>
      <c r="H59" s="17">
        <f>+'Codes allocation'!H236</f>
        <v>275397</v>
      </c>
      <c r="L59" s="16" t="s">
        <v>781</v>
      </c>
    </row>
    <row r="60" spans="1:13" ht="15.75" customHeight="1" x14ac:dyDescent="0.2">
      <c r="A60" s="76"/>
      <c r="B60" s="16" t="s">
        <v>122</v>
      </c>
      <c r="F60" s="17">
        <f>+'Codes allocation'!D240</f>
        <v>217</v>
      </c>
      <c r="G60" s="17">
        <f>+'Codes allocation'!F240</f>
        <v>1500</v>
      </c>
      <c r="H60" s="17">
        <f>+'Codes allocation'!H240</f>
        <v>265</v>
      </c>
    </row>
    <row r="61" spans="1:13" ht="15.75" customHeight="1" x14ac:dyDescent="0.2">
      <c r="A61" s="76"/>
      <c r="B61" s="16" t="s">
        <v>633</v>
      </c>
      <c r="F61" s="17">
        <f>+'Codes allocation'!D253</f>
        <v>758099</v>
      </c>
      <c r="G61" s="17">
        <f>+'Codes allocation'!F253</f>
        <v>732967</v>
      </c>
      <c r="H61" s="17">
        <f>+'Codes allocation'!H253</f>
        <v>705241</v>
      </c>
    </row>
    <row r="62" spans="1:13" ht="15.75" customHeight="1" x14ac:dyDescent="0.2">
      <c r="A62" s="76"/>
      <c r="B62" s="16" t="s">
        <v>634</v>
      </c>
      <c r="F62" s="90">
        <f>+'Codes allocation'!D257</f>
        <v>0</v>
      </c>
      <c r="G62" s="17">
        <f>+'Codes allocation'!F257</f>
        <v>2000</v>
      </c>
      <c r="H62" s="90">
        <f>+'Codes allocation'!H257</f>
        <v>0</v>
      </c>
      <c r="I62" s="4"/>
    </row>
    <row r="63" spans="1:13" ht="15.75" customHeight="1" x14ac:dyDescent="0.2">
      <c r="A63" s="76"/>
      <c r="B63" s="76"/>
      <c r="F63" s="17"/>
      <c r="G63" s="17"/>
      <c r="H63" s="17"/>
      <c r="I63" s="104"/>
      <c r="J63" s="139"/>
      <c r="M63" t="s">
        <v>1471</v>
      </c>
    </row>
    <row r="64" spans="1:13" ht="15.75" customHeight="1" x14ac:dyDescent="0.2">
      <c r="F64" s="46">
        <f>SUM(F59:F63)</f>
        <v>1146500</v>
      </c>
      <c r="G64" s="46">
        <f>SUM(G59:G63)</f>
        <v>1199764</v>
      </c>
      <c r="H64" s="46">
        <f>SUM(H59:H63)</f>
        <v>980903</v>
      </c>
      <c r="I64" s="18"/>
      <c r="J64" s="131"/>
      <c r="K64" s="18"/>
    </row>
    <row r="65" spans="1:12" ht="15.75" customHeight="1" x14ac:dyDescent="0.2">
      <c r="F65" s="17"/>
      <c r="G65" s="17"/>
      <c r="H65" s="17"/>
      <c r="I65" s="18"/>
      <c r="J65" s="131"/>
      <c r="K65" s="18"/>
    </row>
    <row r="66" spans="1:12" ht="15.75" customHeight="1" x14ac:dyDescent="0.2">
      <c r="F66" s="17"/>
      <c r="G66" s="17"/>
      <c r="H66" s="17"/>
      <c r="I66" s="18"/>
      <c r="J66" s="131"/>
      <c r="K66" s="18"/>
    </row>
    <row r="67" spans="1:12" s="9" customFormat="1" ht="15.75" customHeight="1" x14ac:dyDescent="0.2">
      <c r="A67" s="78">
        <v>6</v>
      </c>
      <c r="B67" s="78" t="s">
        <v>980</v>
      </c>
      <c r="F67" s="329"/>
      <c r="G67" s="67"/>
      <c r="H67" s="67"/>
      <c r="K67" s="16"/>
    </row>
    <row r="68" spans="1:12" s="23" customFormat="1" ht="15.75" customHeight="1" x14ac:dyDescent="0.2">
      <c r="A68" s="81"/>
      <c r="B68" s="81"/>
      <c r="F68" s="43">
        <f>'Comprehensive Income'!$C$5</f>
        <v>2023</v>
      </c>
      <c r="G68" s="43">
        <f>'Comprehensive Income'!$D$5</f>
        <v>2023</v>
      </c>
      <c r="H68" s="43">
        <f>'Comprehensive Income'!$E$5</f>
        <v>2022</v>
      </c>
      <c r="K68" s="16"/>
    </row>
    <row r="69" spans="1:12" s="16" customFormat="1" ht="15.75" customHeight="1" x14ac:dyDescent="0.2">
      <c r="A69" s="66"/>
      <c r="B69" s="50"/>
      <c r="F69" s="68" t="s">
        <v>606</v>
      </c>
      <c r="G69" s="68" t="s">
        <v>607</v>
      </c>
      <c r="H69" s="68" t="s">
        <v>606</v>
      </c>
    </row>
    <row r="70" spans="1:12" s="16" customFormat="1" ht="15.75" customHeight="1" x14ac:dyDescent="0.2">
      <c r="A70" s="66"/>
      <c r="B70" s="50"/>
      <c r="F70" s="68"/>
      <c r="G70" s="73" t="s">
        <v>226</v>
      </c>
      <c r="H70" s="68"/>
    </row>
    <row r="71" spans="1:12" s="16" customFormat="1" ht="15.75" customHeight="1" x14ac:dyDescent="0.2">
      <c r="A71" s="66"/>
      <c r="B71" s="50"/>
      <c r="F71" s="68" t="s">
        <v>605</v>
      </c>
      <c r="G71" s="68" t="s">
        <v>605</v>
      </c>
      <c r="H71" s="68" t="s">
        <v>605</v>
      </c>
    </row>
    <row r="72" spans="1:12" s="16" customFormat="1" ht="15.75" customHeight="1" x14ac:dyDescent="0.2">
      <c r="A72" s="77"/>
      <c r="B72" s="16" t="s">
        <v>617</v>
      </c>
      <c r="F72" s="17">
        <f>+'Codes allocation'!D307</f>
        <v>356885</v>
      </c>
      <c r="G72" s="17">
        <f>+'Codes allocation'!F307</f>
        <v>288530</v>
      </c>
      <c r="H72" s="17">
        <f>+'Codes allocation'!H307</f>
        <v>278693</v>
      </c>
      <c r="L72" s="16" t="s">
        <v>781</v>
      </c>
    </row>
    <row r="73" spans="1:12" ht="15.75" customHeight="1" x14ac:dyDescent="0.2">
      <c r="A73" s="76"/>
      <c r="B73" s="16" t="s">
        <v>122</v>
      </c>
      <c r="F73" s="17">
        <f>+'Codes allocation'!D311</f>
        <v>2608</v>
      </c>
      <c r="G73" s="17">
        <f>+'Codes allocation'!F311</f>
        <v>4000</v>
      </c>
      <c r="H73" s="17">
        <f>+'Codes allocation'!H311</f>
        <v>5291</v>
      </c>
    </row>
    <row r="74" spans="1:12" ht="15.75" customHeight="1" x14ac:dyDescent="0.2">
      <c r="A74" s="76"/>
      <c r="B74" s="16" t="s">
        <v>633</v>
      </c>
      <c r="F74" s="17">
        <f>+'Codes allocation'!D324</f>
        <v>931101</v>
      </c>
      <c r="G74" s="17">
        <f>+'Codes allocation'!F324</f>
        <v>931301</v>
      </c>
      <c r="H74" s="17">
        <f>+'Codes allocation'!H324</f>
        <v>759335</v>
      </c>
    </row>
    <row r="75" spans="1:12" ht="15.75" customHeight="1" x14ac:dyDescent="0.2">
      <c r="A75" s="76"/>
      <c r="B75" s="16" t="s">
        <v>634</v>
      </c>
      <c r="F75" s="17">
        <f>+'Codes allocation'!D327</f>
        <v>24738</v>
      </c>
      <c r="G75" s="17">
        <f>+'Codes allocation'!F327</f>
        <v>18200</v>
      </c>
      <c r="H75" s="17">
        <f>+'Codes allocation'!H327</f>
        <v>21357</v>
      </c>
      <c r="I75" s="4"/>
    </row>
    <row r="76" spans="1:12" ht="15.75" customHeight="1" x14ac:dyDescent="0.2">
      <c r="A76" s="76"/>
      <c r="B76" s="76"/>
      <c r="F76" s="17"/>
      <c r="G76" s="17"/>
      <c r="H76" s="17"/>
      <c r="I76" s="104"/>
      <c r="J76" s="139"/>
    </row>
    <row r="77" spans="1:12" ht="15.75" customHeight="1" x14ac:dyDescent="0.2">
      <c r="F77" s="46">
        <f>SUM(F72:F76)</f>
        <v>1315332</v>
      </c>
      <c r="G77" s="46">
        <f>SUM(G72:G76)</f>
        <v>1242031</v>
      </c>
      <c r="H77" s="46">
        <f>SUM(H72:H76)</f>
        <v>1064676</v>
      </c>
      <c r="I77" s="18"/>
      <c r="J77" s="131"/>
      <c r="K77" s="18"/>
    </row>
    <row r="78" spans="1:12" ht="17.25" customHeight="1" x14ac:dyDescent="0.2">
      <c r="F78" s="17"/>
      <c r="G78" s="17"/>
      <c r="H78" s="17"/>
      <c r="I78" s="18"/>
      <c r="J78" s="131"/>
      <c r="K78" s="18"/>
    </row>
    <row r="79" spans="1:12" s="9" customFormat="1" ht="15.75" customHeight="1" x14ac:dyDescent="0.2">
      <c r="A79" s="78">
        <v>7</v>
      </c>
      <c r="B79" s="78" t="s">
        <v>981</v>
      </c>
      <c r="F79" s="329"/>
      <c r="G79" s="67"/>
      <c r="H79" s="67"/>
      <c r="K79" s="16"/>
    </row>
    <row r="80" spans="1:12" s="23" customFormat="1" ht="15.75" customHeight="1" x14ac:dyDescent="0.2">
      <c r="A80" s="81"/>
      <c r="B80" s="81"/>
      <c r="F80" s="43">
        <f>'Comprehensive Income'!$C$5</f>
        <v>2023</v>
      </c>
      <c r="G80" s="43">
        <f>'Comprehensive Income'!$D$5</f>
        <v>2023</v>
      </c>
      <c r="H80" s="43">
        <f>'Comprehensive Income'!$E$5</f>
        <v>2022</v>
      </c>
      <c r="K80" s="16"/>
    </row>
    <row r="81" spans="1:12" s="16" customFormat="1" ht="15.75" customHeight="1" x14ac:dyDescent="0.2">
      <c r="A81" s="66"/>
      <c r="B81" s="50"/>
      <c r="F81" s="68" t="s">
        <v>606</v>
      </c>
      <c r="G81" s="68" t="s">
        <v>607</v>
      </c>
      <c r="H81" s="68" t="s">
        <v>606</v>
      </c>
    </row>
    <row r="82" spans="1:12" s="16" customFormat="1" ht="15.75" customHeight="1" x14ac:dyDescent="0.2">
      <c r="A82" s="66"/>
      <c r="B82" s="50"/>
      <c r="F82" s="68"/>
      <c r="G82" s="73" t="s">
        <v>226</v>
      </c>
      <c r="H82" s="68"/>
    </row>
    <row r="83" spans="1:12" s="16" customFormat="1" ht="15.75" customHeight="1" x14ac:dyDescent="0.2">
      <c r="A83" s="66"/>
      <c r="B83" s="50"/>
      <c r="F83" s="68" t="s">
        <v>605</v>
      </c>
      <c r="G83" s="68" t="s">
        <v>605</v>
      </c>
      <c r="H83" s="68" t="s">
        <v>605</v>
      </c>
    </row>
    <row r="84" spans="1:12" s="16" customFormat="1" ht="15.75" customHeight="1" x14ac:dyDescent="0.2">
      <c r="A84" s="77"/>
      <c r="B84" s="16" t="s">
        <v>617</v>
      </c>
      <c r="F84" s="17">
        <f>+'Codes allocation'!D653</f>
        <v>1601941</v>
      </c>
      <c r="G84" s="17">
        <f>+'Codes allocation'!F653</f>
        <v>1730995</v>
      </c>
      <c r="H84" s="17">
        <f>+'Codes allocation'!H653</f>
        <v>1318929</v>
      </c>
      <c r="L84" s="16" t="s">
        <v>781</v>
      </c>
    </row>
    <row r="85" spans="1:12" ht="15.75" customHeight="1" x14ac:dyDescent="0.2">
      <c r="A85" s="76"/>
      <c r="B85" s="16" t="s">
        <v>122</v>
      </c>
      <c r="F85" s="17">
        <f>+'Codes allocation'!D675</f>
        <v>6497</v>
      </c>
      <c r="G85" s="17">
        <f>+'Codes allocation'!F675</f>
        <v>7700</v>
      </c>
      <c r="H85" s="17">
        <f>+'Codes allocation'!H675</f>
        <v>5680</v>
      </c>
    </row>
    <row r="86" spans="1:12" ht="15.75" customHeight="1" x14ac:dyDescent="0.2">
      <c r="A86" s="76"/>
      <c r="B86" s="16" t="s">
        <v>633</v>
      </c>
      <c r="F86" s="17">
        <f>+'Codes allocation'!D722</f>
        <v>2479427</v>
      </c>
      <c r="G86" s="17">
        <f>+'Codes allocation'!F722</f>
        <v>2636878</v>
      </c>
      <c r="H86" s="17">
        <f>+'Codes allocation'!H722</f>
        <v>1989063</v>
      </c>
    </row>
    <row r="87" spans="1:12" ht="15.75" customHeight="1" x14ac:dyDescent="0.2">
      <c r="A87" s="76"/>
      <c r="B87" s="16" t="s">
        <v>634</v>
      </c>
      <c r="F87" s="17">
        <f>+'Codes allocation'!D769</f>
        <v>528716</v>
      </c>
      <c r="G87" s="17">
        <f>+'Codes allocation'!F769</f>
        <v>519393</v>
      </c>
      <c r="H87" s="17">
        <f>+'Codes allocation'!H769</f>
        <v>442013</v>
      </c>
      <c r="I87" s="4"/>
    </row>
    <row r="88" spans="1:12" ht="15.75" customHeight="1" x14ac:dyDescent="0.2">
      <c r="A88" s="76"/>
      <c r="B88" s="76"/>
      <c r="F88" s="17"/>
      <c r="G88" s="17"/>
      <c r="H88" s="17"/>
      <c r="I88" s="104"/>
      <c r="J88" s="139"/>
    </row>
    <row r="89" spans="1:12" ht="15.75" customHeight="1" x14ac:dyDescent="0.2">
      <c r="F89" s="46">
        <f>SUM(F84:F88)</f>
        <v>4616581</v>
      </c>
      <c r="G89" s="46">
        <f>SUM(G84:G88)</f>
        <v>4894966</v>
      </c>
      <c r="H89" s="46">
        <f>SUM(H84:H88)</f>
        <v>3755685</v>
      </c>
      <c r="I89" s="18"/>
      <c r="J89" s="131"/>
      <c r="K89" s="18"/>
    </row>
    <row r="90" spans="1:12" ht="16.5" customHeight="1" x14ac:dyDescent="0.2">
      <c r="F90" s="17"/>
      <c r="G90" s="17"/>
      <c r="H90" s="17"/>
      <c r="I90" s="18"/>
      <c r="J90" s="131"/>
      <c r="K90" s="18"/>
    </row>
    <row r="91" spans="1:12" s="9" customFormat="1" ht="15.75" customHeight="1" x14ac:dyDescent="0.2">
      <c r="A91" s="78">
        <v>8</v>
      </c>
      <c r="B91" s="78" t="s">
        <v>993</v>
      </c>
      <c r="F91" s="329"/>
      <c r="G91" s="67"/>
      <c r="H91" s="67"/>
      <c r="K91" s="16"/>
    </row>
    <row r="92" spans="1:12" s="23" customFormat="1" ht="15.75" customHeight="1" x14ac:dyDescent="0.2">
      <c r="A92" s="81"/>
      <c r="B92" s="81"/>
      <c r="F92" s="43">
        <f>'Comprehensive Income'!$C$5</f>
        <v>2023</v>
      </c>
      <c r="G92" s="43">
        <f>'Comprehensive Income'!$D$5</f>
        <v>2023</v>
      </c>
      <c r="H92" s="43">
        <f>'Comprehensive Income'!$E$5</f>
        <v>2022</v>
      </c>
      <c r="K92" s="16"/>
    </row>
    <row r="93" spans="1:12" s="16" customFormat="1" ht="15.75" customHeight="1" x14ac:dyDescent="0.2">
      <c r="A93" s="66"/>
      <c r="B93" s="50"/>
      <c r="F93" s="68" t="s">
        <v>606</v>
      </c>
      <c r="G93" s="68" t="s">
        <v>607</v>
      </c>
      <c r="H93" s="68" t="s">
        <v>606</v>
      </c>
    </row>
    <row r="94" spans="1:12" s="16" customFormat="1" ht="15.75" customHeight="1" x14ac:dyDescent="0.2">
      <c r="A94" s="66"/>
      <c r="B94" s="50"/>
      <c r="F94" s="68"/>
      <c r="G94" s="73" t="s">
        <v>226</v>
      </c>
      <c r="H94" s="68"/>
    </row>
    <row r="95" spans="1:12" s="16" customFormat="1" ht="15.75" customHeight="1" x14ac:dyDescent="0.2">
      <c r="A95" s="66"/>
      <c r="B95" s="50"/>
      <c r="F95" s="68" t="s">
        <v>605</v>
      </c>
      <c r="G95" s="68" t="s">
        <v>605</v>
      </c>
      <c r="H95" s="68" t="s">
        <v>605</v>
      </c>
    </row>
    <row r="96" spans="1:12" s="16" customFormat="1" ht="15.75" customHeight="1" x14ac:dyDescent="0.2">
      <c r="A96" s="77"/>
      <c r="B96" s="16" t="s">
        <v>617</v>
      </c>
      <c r="F96" s="17">
        <f>'Codes allocation'!D819</f>
        <v>1391</v>
      </c>
      <c r="G96" s="17">
        <f>'Codes allocation'!F819</f>
        <v>7700</v>
      </c>
      <c r="H96" s="17">
        <f>'Codes allocation'!H819</f>
        <v>2336</v>
      </c>
      <c r="L96" s="16" t="s">
        <v>781</v>
      </c>
    </row>
    <row r="97" spans="1:11" ht="15.75" hidden="1" customHeight="1" x14ac:dyDescent="0.2">
      <c r="A97" s="76"/>
      <c r="B97" s="16"/>
      <c r="F97" s="17"/>
      <c r="G97" s="17"/>
      <c r="H97" s="17"/>
    </row>
    <row r="98" spans="1:11" ht="15.75" customHeight="1" x14ac:dyDescent="0.2">
      <c r="A98" s="76"/>
      <c r="B98" s="16" t="s">
        <v>633</v>
      </c>
      <c r="F98" s="380">
        <f>'Codes allocation'!D848</f>
        <v>-2</v>
      </c>
      <c r="G98" s="90">
        <f>'Codes allocation'!F848</f>
        <v>0</v>
      </c>
      <c r="H98" s="17">
        <f>'Codes allocation'!H848</f>
        <v>4833</v>
      </c>
    </row>
    <row r="99" spans="1:11" ht="15.75" customHeight="1" x14ac:dyDescent="0.2">
      <c r="A99" s="76"/>
      <c r="B99" s="16" t="s">
        <v>634</v>
      </c>
      <c r="F99" s="17">
        <f>'Codes allocation'!D862</f>
        <v>19643</v>
      </c>
      <c r="G99" s="17">
        <f>'Codes allocation'!F862</f>
        <v>400</v>
      </c>
      <c r="H99" s="17">
        <f>'Codes allocation'!H862</f>
        <v>6943</v>
      </c>
      <c r="I99" s="4"/>
    </row>
    <row r="100" spans="1:11" ht="15.75" customHeight="1" x14ac:dyDescent="0.2">
      <c r="A100" s="76"/>
      <c r="B100" s="76"/>
      <c r="F100" s="17"/>
      <c r="G100" s="17"/>
      <c r="H100" s="17"/>
      <c r="I100" s="104"/>
      <c r="J100" s="139"/>
    </row>
    <row r="101" spans="1:11" ht="15.75" customHeight="1" x14ac:dyDescent="0.2">
      <c r="F101" s="46">
        <f>SUM(F96:F100)</f>
        <v>21032</v>
      </c>
      <c r="G101" s="46">
        <f>SUM(G96:G100)</f>
        <v>8100</v>
      </c>
      <c r="H101" s="46">
        <f>SUM(H96:H100)</f>
        <v>14112</v>
      </c>
      <c r="I101" s="18"/>
      <c r="J101" s="131"/>
      <c r="K101" s="18"/>
    </row>
    <row r="102" spans="1:11" ht="15.75" customHeight="1" x14ac:dyDescent="0.2">
      <c r="F102" s="17"/>
      <c r="G102" s="17"/>
      <c r="H102" s="17"/>
      <c r="I102" s="18"/>
      <c r="J102" s="131"/>
      <c r="K102" s="18"/>
    </row>
    <row r="103" spans="1:11" ht="15.75" customHeight="1" x14ac:dyDescent="0.2">
      <c r="F103" s="17"/>
      <c r="G103" s="17"/>
      <c r="H103" s="17"/>
      <c r="I103" s="18"/>
      <c r="J103" s="131"/>
      <c r="K103" s="18"/>
    </row>
    <row r="104" spans="1:11" ht="15.75" customHeight="1" x14ac:dyDescent="0.2">
      <c r="E104" s="4"/>
      <c r="F104" s="17"/>
      <c r="G104" s="17"/>
      <c r="H104" s="17"/>
      <c r="I104" s="18"/>
      <c r="J104" s="21"/>
      <c r="K104" s="18"/>
    </row>
    <row r="105" spans="1:11" ht="15.75" customHeight="1" x14ac:dyDescent="0.2">
      <c r="A105" s="78">
        <f>A91+1</f>
        <v>9</v>
      </c>
      <c r="B105" s="78" t="s">
        <v>611</v>
      </c>
      <c r="C105" s="9"/>
      <c r="D105" s="9"/>
      <c r="E105" s="9"/>
      <c r="F105" s="67"/>
      <c r="G105" s="329"/>
      <c r="H105" s="67"/>
      <c r="I105" s="26"/>
    </row>
    <row r="106" spans="1:11" ht="15.75" customHeight="1" x14ac:dyDescent="0.2">
      <c r="B106" s="50"/>
      <c r="C106" s="16"/>
      <c r="D106" s="16"/>
      <c r="F106" s="43">
        <f>'Comprehensive Income'!$C$5</f>
        <v>2023</v>
      </c>
      <c r="G106" s="43">
        <f>'Comprehensive Income'!$D$5</f>
        <v>2023</v>
      </c>
      <c r="H106" s="43">
        <f>'Comprehensive Income'!$E$5</f>
        <v>2022</v>
      </c>
      <c r="I106" s="104"/>
    </row>
    <row r="107" spans="1:11" ht="15.75" customHeight="1" x14ac:dyDescent="0.2">
      <c r="B107" s="50"/>
      <c r="C107" s="16"/>
      <c r="D107" s="16"/>
      <c r="F107" s="68" t="s">
        <v>606</v>
      </c>
      <c r="G107" s="68" t="s">
        <v>607</v>
      </c>
      <c r="H107" s="68" t="s">
        <v>606</v>
      </c>
    </row>
    <row r="108" spans="1:11" ht="15.75" customHeight="1" x14ac:dyDescent="0.2">
      <c r="B108" s="50"/>
      <c r="C108" s="16"/>
      <c r="D108" s="16"/>
      <c r="F108" s="68"/>
      <c r="G108" s="73" t="s">
        <v>226</v>
      </c>
      <c r="H108" s="68"/>
    </row>
    <row r="109" spans="1:11" ht="15.75" customHeight="1" x14ac:dyDescent="0.2">
      <c r="B109" s="50"/>
      <c r="C109" s="16"/>
      <c r="D109" s="16"/>
      <c r="F109" s="68" t="s">
        <v>605</v>
      </c>
      <c r="G109" s="68" t="s">
        <v>605</v>
      </c>
      <c r="H109" s="68" t="s">
        <v>605</v>
      </c>
    </row>
    <row r="110" spans="1:11" ht="15.75" customHeight="1" x14ac:dyDescent="0.2">
      <c r="A110" s="76"/>
      <c r="B110" s="77" t="s">
        <v>648</v>
      </c>
      <c r="E110" s="4"/>
      <c r="F110" s="17">
        <f>+'Codes allocation'!D866</f>
        <v>11927</v>
      </c>
      <c r="G110" s="17">
        <f>+'Codes allocation'!F866</f>
        <v>11927</v>
      </c>
      <c r="H110" s="17">
        <f>+'Codes allocation'!H866</f>
        <v>11580</v>
      </c>
    </row>
    <row r="111" spans="1:11" ht="15.75" customHeight="1" x14ac:dyDescent="0.2">
      <c r="B111" s="77" t="s">
        <v>635</v>
      </c>
      <c r="F111" s="17">
        <f>+'Codes allocation'!D868</f>
        <v>6000</v>
      </c>
      <c r="G111" s="17">
        <f>+'Codes allocation'!F868</f>
        <v>12000</v>
      </c>
      <c r="H111" s="17">
        <f>+'Codes allocation'!H868</f>
        <v>5960</v>
      </c>
    </row>
    <row r="112" spans="1:11" ht="15.75" customHeight="1" x14ac:dyDescent="0.2">
      <c r="B112" s="77" t="s">
        <v>636</v>
      </c>
      <c r="F112" s="17">
        <f>+'Codes allocation'!D874</f>
        <v>55038</v>
      </c>
      <c r="G112" s="17">
        <f>+'Codes allocation'!F874</f>
        <v>40250</v>
      </c>
      <c r="H112" s="17">
        <f>+'Codes allocation'!H874</f>
        <v>74518</v>
      </c>
    </row>
    <row r="113" spans="1:16" ht="15.75" customHeight="1" x14ac:dyDescent="0.2">
      <c r="A113" s="76"/>
      <c r="B113" s="77" t="s">
        <v>623</v>
      </c>
      <c r="F113" s="17">
        <f>+'Codes allocation'!D887</f>
        <v>632221</v>
      </c>
      <c r="G113" s="17">
        <f>+'Codes allocation'!F887</f>
        <v>672410</v>
      </c>
      <c r="H113" s="17">
        <f>+'Codes allocation'!H887</f>
        <v>538598</v>
      </c>
    </row>
    <row r="114" spans="1:16" ht="15.75" customHeight="1" x14ac:dyDescent="0.2">
      <c r="A114" s="76"/>
      <c r="B114" s="77" t="s">
        <v>619</v>
      </c>
      <c r="F114" s="17">
        <f>'Codes allocation'!D890</f>
        <v>10214</v>
      </c>
      <c r="G114" s="17">
        <f>'Codes allocation'!F890</f>
        <v>7000</v>
      </c>
      <c r="H114" s="17">
        <f>'Codes allocation'!H890</f>
        <v>7000</v>
      </c>
      <c r="J114" s="4"/>
    </row>
    <row r="115" spans="1:16" ht="15.75" customHeight="1" x14ac:dyDescent="0.2">
      <c r="B115" s="77" t="s">
        <v>142</v>
      </c>
      <c r="F115" s="17">
        <f>+'Codes allocation'!D896</f>
        <v>4598</v>
      </c>
      <c r="G115" s="90">
        <f>+'Codes allocation'!F896</f>
        <v>4000</v>
      </c>
      <c r="H115" s="17">
        <f>+'Codes allocation'!H896</f>
        <v>6295</v>
      </c>
    </row>
    <row r="116" spans="1:16" ht="15.75" customHeight="1" x14ac:dyDescent="0.2">
      <c r="A116" s="76"/>
      <c r="B116" s="66" t="s">
        <v>51</v>
      </c>
      <c r="F116" s="17">
        <f>+'Codes allocation'!D901</f>
        <v>3651</v>
      </c>
      <c r="G116" s="90">
        <f>+'Codes allocation'!F901</f>
        <v>2000</v>
      </c>
      <c r="H116" s="90">
        <f>+'Codes allocation'!H901</f>
        <v>21136</v>
      </c>
    </row>
    <row r="117" spans="1:16" ht="15.75" customHeight="1" x14ac:dyDescent="0.2">
      <c r="B117" s="66" t="s">
        <v>983</v>
      </c>
      <c r="F117" s="17">
        <f>+'Codes allocation'!D960</f>
        <v>72556</v>
      </c>
      <c r="G117" s="17">
        <f>+'Codes allocation'!F960</f>
        <v>159090</v>
      </c>
      <c r="H117" s="17">
        <f>+'Codes allocation'!H960</f>
        <v>159485</v>
      </c>
    </row>
    <row r="118" spans="1:16" s="23" customFormat="1" ht="15.75" customHeight="1" x14ac:dyDescent="0.2">
      <c r="A118" s="77"/>
      <c r="B118" s="77" t="s">
        <v>633</v>
      </c>
      <c r="C118"/>
      <c r="D118"/>
      <c r="F118" s="17">
        <f>+'Codes allocation'!D976</f>
        <v>553204</v>
      </c>
      <c r="G118" s="17">
        <f>+'Codes allocation'!F976</f>
        <v>545804</v>
      </c>
      <c r="H118" s="17">
        <f>+'Codes allocation'!H976</f>
        <v>523981</v>
      </c>
    </row>
    <row r="119" spans="1:16" s="16" customFormat="1" ht="15.75" customHeight="1" x14ac:dyDescent="0.2">
      <c r="A119" s="76"/>
      <c r="B119" s="77" t="s">
        <v>618</v>
      </c>
      <c r="C119"/>
      <c r="D119"/>
      <c r="F119" s="17">
        <f>+'Codes allocation'!D980</f>
        <v>22208</v>
      </c>
      <c r="G119" s="17">
        <f>+'Codes allocation'!F980</f>
        <v>20063</v>
      </c>
      <c r="H119" s="17">
        <f>+'Codes allocation'!H980</f>
        <v>7820</v>
      </c>
      <c r="I119" s="23"/>
      <c r="J119" s="23"/>
      <c r="K119" s="23"/>
      <c r="L119" s="23"/>
      <c r="M119" s="23"/>
      <c r="N119" s="23"/>
      <c r="O119" s="23"/>
      <c r="P119" s="23"/>
    </row>
    <row r="120" spans="1:16" ht="15.75" customHeight="1" x14ac:dyDescent="0.2">
      <c r="A120" s="76"/>
      <c r="B120" s="66" t="s">
        <v>1710</v>
      </c>
      <c r="F120" s="17">
        <f>+'Codes allocation'!D984</f>
        <v>43594</v>
      </c>
      <c r="G120" s="17">
        <f>+'Codes allocation'!F984</f>
        <v>40763</v>
      </c>
      <c r="H120" s="17">
        <f>+'Codes allocation'!H984</f>
        <v>41711</v>
      </c>
    </row>
    <row r="121" spans="1:16" s="16" customFormat="1" ht="15.75" customHeight="1" x14ac:dyDescent="0.2">
      <c r="A121" s="66"/>
      <c r="B121" s="330"/>
      <c r="C121"/>
      <c r="D121"/>
      <c r="F121" s="46">
        <f>SUM(F110:F120)</f>
        <v>1415211</v>
      </c>
      <c r="G121" s="46">
        <f>SUM(G110:G120)</f>
        <v>1515307</v>
      </c>
      <c r="H121" s="46">
        <f>SUM(H110:H120)</f>
        <v>1398084</v>
      </c>
    </row>
    <row r="122" spans="1:16" s="16" customFormat="1" ht="15.75" customHeight="1" x14ac:dyDescent="0.2">
      <c r="A122" s="66"/>
      <c r="B122" s="25"/>
      <c r="E122" s="24"/>
      <c r="F122" s="27"/>
      <c r="G122" s="27"/>
      <c r="H122" s="2"/>
    </row>
    <row r="123" spans="1:16" s="16" customFormat="1" ht="15.75" customHeight="1" x14ac:dyDescent="0.2">
      <c r="A123" s="78">
        <f>A105+1</f>
        <v>10</v>
      </c>
      <c r="B123" s="78" t="s">
        <v>616</v>
      </c>
      <c r="C123" s="9"/>
      <c r="D123" s="9"/>
      <c r="E123" s="9"/>
      <c r="F123" s="67"/>
      <c r="G123" s="329"/>
      <c r="H123" s="69"/>
    </row>
    <row r="124" spans="1:16" s="16" customFormat="1" ht="15.75" customHeight="1" x14ac:dyDescent="0.2">
      <c r="A124" s="66"/>
      <c r="B124" s="50"/>
      <c r="F124" s="43">
        <f>'Comprehensive Income'!$C$5</f>
        <v>2023</v>
      </c>
      <c r="G124" s="43">
        <f>'Comprehensive Income'!$D$5</f>
        <v>2023</v>
      </c>
      <c r="H124" s="43">
        <f>'Comprehensive Income'!$E$5</f>
        <v>2022</v>
      </c>
    </row>
    <row r="125" spans="1:16" s="16" customFormat="1" ht="15.75" customHeight="1" x14ac:dyDescent="0.2">
      <c r="A125" s="66"/>
      <c r="B125" s="50"/>
      <c r="F125" s="68" t="s">
        <v>606</v>
      </c>
      <c r="G125" s="68" t="s">
        <v>607</v>
      </c>
      <c r="H125" s="68" t="s">
        <v>606</v>
      </c>
    </row>
    <row r="126" spans="1:16" s="16" customFormat="1" ht="15.75" customHeight="1" x14ac:dyDescent="0.2">
      <c r="A126" s="66"/>
      <c r="B126" s="50"/>
      <c r="F126" s="68"/>
      <c r="G126" s="73" t="s">
        <v>226</v>
      </c>
      <c r="H126" s="68"/>
    </row>
    <row r="127" spans="1:16" s="16" customFormat="1" ht="15.75" customHeight="1" x14ac:dyDescent="0.2">
      <c r="A127" s="66"/>
      <c r="B127" s="50"/>
      <c r="F127" s="68" t="s">
        <v>605</v>
      </c>
      <c r="G127" s="68" t="s">
        <v>605</v>
      </c>
      <c r="H127" s="68" t="s">
        <v>605</v>
      </c>
    </row>
    <row r="128" spans="1:16" s="16" customFormat="1" ht="15.75" customHeight="1" x14ac:dyDescent="0.2">
      <c r="A128" s="76"/>
      <c r="B128" s="77" t="s">
        <v>989</v>
      </c>
      <c r="C128"/>
      <c r="D128"/>
      <c r="F128" s="27">
        <f>+'Codes allocation'!D997</f>
        <v>168387</v>
      </c>
      <c r="G128" s="27">
        <f>+'Codes allocation'!F997</f>
        <v>164750</v>
      </c>
      <c r="H128" s="27">
        <f>+'Codes allocation'!H997</f>
        <v>66546</v>
      </c>
    </row>
    <row r="129" spans="1:9" s="16" customFormat="1" ht="15.75" hidden="1" customHeight="1" x14ac:dyDescent="0.2">
      <c r="A129" s="76"/>
      <c r="B129" s="77" t="s">
        <v>990</v>
      </c>
      <c r="C129"/>
      <c r="D129"/>
      <c r="F129" s="17"/>
      <c r="G129" s="17"/>
      <c r="H129" s="17"/>
    </row>
    <row r="130" spans="1:9" s="16" customFormat="1" ht="15.75" customHeight="1" x14ac:dyDescent="0.2">
      <c r="A130" s="76"/>
      <c r="B130" s="77" t="s">
        <v>991</v>
      </c>
      <c r="C130"/>
      <c r="D130"/>
      <c r="F130" s="17">
        <f>+'Codes allocation'!D1001+'Codes allocation'!D1004</f>
        <v>102542</v>
      </c>
      <c r="G130" s="17">
        <f>+'Codes allocation'!F1001+'Codes allocation'!F1004</f>
        <v>23229</v>
      </c>
      <c r="H130" s="17">
        <f>+'Codes allocation'!H1001+'Codes allocation'!H1004</f>
        <v>55377</v>
      </c>
    </row>
    <row r="131" spans="1:9" s="16" customFormat="1" ht="15.75" customHeight="1" x14ac:dyDescent="0.2">
      <c r="A131" s="76"/>
      <c r="B131" s="77" t="s">
        <v>609</v>
      </c>
      <c r="C131"/>
      <c r="D131"/>
      <c r="F131" s="17">
        <f>+'Codes allocation'!D1009</f>
        <v>20075</v>
      </c>
      <c r="G131" s="17">
        <f>+'Codes allocation'!F1009</f>
        <v>20000</v>
      </c>
      <c r="H131" s="17">
        <f>+'Codes allocation'!H1009</f>
        <v>7537</v>
      </c>
    </row>
    <row r="132" spans="1:9" s="16" customFormat="1" ht="15.75" customHeight="1" x14ac:dyDescent="0.2">
      <c r="A132" s="76"/>
      <c r="B132" s="77" t="s">
        <v>424</v>
      </c>
      <c r="C132"/>
      <c r="D132"/>
      <c r="F132" s="17">
        <f>+'Codes allocation'!D1014</f>
        <v>203302</v>
      </c>
      <c r="G132" s="17">
        <f>+'Codes allocation'!F1014</f>
        <v>206300</v>
      </c>
      <c r="H132" s="17">
        <f>+'Codes allocation'!H1014</f>
        <v>142401</v>
      </c>
    </row>
    <row r="133" spans="1:9" s="16" customFormat="1" ht="15.75" customHeight="1" x14ac:dyDescent="0.2">
      <c r="A133" s="76"/>
      <c r="B133" s="77" t="s">
        <v>144</v>
      </c>
      <c r="C133"/>
      <c r="D133"/>
      <c r="F133" s="17">
        <f>+'Codes allocation'!D1019</f>
        <v>38879</v>
      </c>
      <c r="G133" s="17">
        <f>+'Codes allocation'!F1019</f>
        <v>21000</v>
      </c>
      <c r="H133" s="17">
        <f>+'Codes allocation'!H1019</f>
        <v>12729</v>
      </c>
    </row>
    <row r="134" spans="1:9" s="16" customFormat="1" ht="15.75" customHeight="1" x14ac:dyDescent="0.2">
      <c r="A134" s="76"/>
      <c r="B134" s="77" t="s">
        <v>417</v>
      </c>
      <c r="C134"/>
      <c r="D134"/>
      <c r="F134" s="17">
        <f>+'Codes allocation'!D1028</f>
        <v>193196</v>
      </c>
      <c r="G134" s="17">
        <f>+'Codes allocation'!F1028</f>
        <v>258500</v>
      </c>
      <c r="H134" s="17">
        <f>+'Codes allocation'!H1028</f>
        <v>93401</v>
      </c>
    </row>
    <row r="135" spans="1:9" s="16" customFormat="1" ht="15.75" customHeight="1" x14ac:dyDescent="0.2">
      <c r="A135" s="77"/>
      <c r="B135" s="77" t="s">
        <v>271</v>
      </c>
      <c r="C135"/>
      <c r="D135"/>
      <c r="F135" s="17">
        <f>'Codes allocation'!D1031</f>
        <v>2193217</v>
      </c>
      <c r="G135" s="17">
        <f>'Codes allocation'!F1031</f>
        <v>1420415</v>
      </c>
      <c r="H135" s="17">
        <f>'Codes allocation'!H1031</f>
        <v>1633477</v>
      </c>
    </row>
    <row r="136" spans="1:9" s="16" customFormat="1" ht="15.75" customHeight="1" x14ac:dyDescent="0.2">
      <c r="A136" s="77"/>
      <c r="B136" s="77" t="s">
        <v>808</v>
      </c>
      <c r="C136"/>
      <c r="D136"/>
      <c r="F136" s="17">
        <f>'Codes allocation'!D1033</f>
        <v>12179</v>
      </c>
      <c r="G136" s="17">
        <f>'Codes allocation'!F1033</f>
        <v>9500</v>
      </c>
      <c r="H136" s="17">
        <f>'Codes allocation'!H1033</f>
        <v>10513</v>
      </c>
    </row>
    <row r="137" spans="1:9" s="16" customFormat="1" ht="15.75" customHeight="1" x14ac:dyDescent="0.2">
      <c r="A137" s="76"/>
      <c r="B137" s="77" t="s">
        <v>992</v>
      </c>
      <c r="C137"/>
      <c r="D137" s="4"/>
      <c r="F137" s="17">
        <f>'Codes allocation'!D1037</f>
        <v>196862</v>
      </c>
      <c r="G137" s="17">
        <f>'Codes allocation'!F1037</f>
        <v>182950</v>
      </c>
      <c r="H137" s="17">
        <f>'Codes allocation'!H1037</f>
        <v>160410</v>
      </c>
    </row>
    <row r="138" spans="1:9" s="16" customFormat="1" ht="15.75" customHeight="1" x14ac:dyDescent="0.2">
      <c r="A138" s="76"/>
      <c r="B138" s="66" t="s">
        <v>674</v>
      </c>
      <c r="C138"/>
      <c r="D138" s="4"/>
      <c r="F138" s="90">
        <f>'Codes allocation'!D1055</f>
        <v>0</v>
      </c>
      <c r="G138" s="331">
        <f>'Codes allocation'!F1055</f>
        <v>0</v>
      </c>
      <c r="H138" s="17">
        <f>'Codes allocation'!H1055</f>
        <v>224</v>
      </c>
    </row>
    <row r="139" spans="1:9" s="16" customFormat="1" ht="15.75" customHeight="1" x14ac:dyDescent="0.2">
      <c r="A139" s="66"/>
      <c r="B139" s="77"/>
      <c r="C139"/>
      <c r="D139"/>
      <c r="F139" s="46">
        <f>SUM(F128:F138)</f>
        <v>3128639</v>
      </c>
      <c r="G139" s="46">
        <f>SUM(G128:G138)</f>
        <v>2306644</v>
      </c>
      <c r="H139" s="46">
        <f>SUM(H128:H138)</f>
        <v>2182615</v>
      </c>
    </row>
    <row r="140" spans="1:9" s="16" customFormat="1" ht="15.75" customHeight="1" x14ac:dyDescent="0.2">
      <c r="A140" s="66"/>
      <c r="B140" s="77"/>
      <c r="C140"/>
      <c r="D140"/>
      <c r="F140" s="17"/>
      <c r="G140" s="17"/>
      <c r="H140" s="17"/>
    </row>
    <row r="141" spans="1:9" s="16" customFormat="1" ht="32.25" customHeight="1" x14ac:dyDescent="0.2">
      <c r="A141" s="66"/>
      <c r="B141" s="514" t="s">
        <v>1576</v>
      </c>
      <c r="C141" s="528"/>
      <c r="D141" s="528"/>
      <c r="E141" s="528"/>
      <c r="F141" s="528"/>
      <c r="G141" s="528"/>
      <c r="H141" s="528"/>
      <c r="I141" s="286"/>
    </row>
    <row r="142" spans="1:9" s="16" customFormat="1" ht="15.75" customHeight="1" x14ac:dyDescent="0.2">
      <c r="A142" s="66"/>
      <c r="B142" s="528"/>
      <c r="C142" s="528"/>
      <c r="D142" s="528"/>
      <c r="E142" s="528"/>
      <c r="F142" s="528"/>
      <c r="G142" s="528"/>
      <c r="H142" s="528"/>
    </row>
    <row r="143" spans="1:9" s="16" customFormat="1" ht="15.75" customHeight="1" x14ac:dyDescent="0.2">
      <c r="A143" s="66"/>
      <c r="B143" s="77"/>
      <c r="C143"/>
      <c r="D143"/>
      <c r="F143" s="17"/>
      <c r="G143" s="17"/>
      <c r="H143" s="17"/>
    </row>
    <row r="144" spans="1:9" s="16" customFormat="1" ht="15.75" customHeight="1" x14ac:dyDescent="0.2">
      <c r="A144" s="66"/>
      <c r="B144" s="77"/>
      <c r="C144"/>
      <c r="D144"/>
      <c r="F144" s="17"/>
      <c r="G144" s="17"/>
      <c r="H144" s="17"/>
      <c r="I144" s="24"/>
    </row>
    <row r="145" spans="1:15" s="16" customFormat="1" ht="15.75" hidden="1" customHeight="1" x14ac:dyDescent="0.2">
      <c r="A145" s="78">
        <f>A123+1</f>
        <v>11</v>
      </c>
      <c r="B145" s="78" t="s">
        <v>612</v>
      </c>
      <c r="E145" s="8"/>
      <c r="F145" s="68"/>
      <c r="G145" s="105"/>
      <c r="H145" s="69"/>
    </row>
    <row r="146" spans="1:15" s="15" customFormat="1" ht="15.75" hidden="1" customHeight="1" x14ac:dyDescent="0.2">
      <c r="A146" s="82"/>
      <c r="B146" s="50"/>
      <c r="C146"/>
      <c r="D146"/>
      <c r="F146" s="43">
        <f>'Comprehensive Income'!$C$5</f>
        <v>2023</v>
      </c>
      <c r="G146" s="43">
        <f>'Comprehensive Income'!$D$5</f>
        <v>2023</v>
      </c>
      <c r="H146" s="43">
        <f>'Comprehensive Income'!$E$5</f>
        <v>2022</v>
      </c>
    </row>
    <row r="147" spans="1:15" ht="15.75" hidden="1" customHeight="1" x14ac:dyDescent="0.2">
      <c r="B147" s="50"/>
      <c r="F147" s="68" t="s">
        <v>606</v>
      </c>
      <c r="G147" s="68" t="s">
        <v>607</v>
      </c>
      <c r="H147" s="68" t="s">
        <v>606</v>
      </c>
    </row>
    <row r="148" spans="1:15" ht="15.75" hidden="1" customHeight="1" x14ac:dyDescent="0.2">
      <c r="B148" s="50"/>
      <c r="F148" s="68"/>
      <c r="G148" s="73" t="s">
        <v>226</v>
      </c>
      <c r="H148" s="68"/>
    </row>
    <row r="149" spans="1:15" ht="15.75" hidden="1" customHeight="1" x14ac:dyDescent="0.2">
      <c r="B149" s="50"/>
      <c r="C149" s="16"/>
      <c r="D149" s="16"/>
      <c r="F149" s="68" t="s">
        <v>605</v>
      </c>
      <c r="G149" s="68" t="s">
        <v>605</v>
      </c>
      <c r="H149" s="68" t="s">
        <v>605</v>
      </c>
    </row>
    <row r="150" spans="1:15" ht="15.75" hidden="1" customHeight="1" x14ac:dyDescent="0.2">
      <c r="B150" s="77" t="s">
        <v>770</v>
      </c>
      <c r="F150" s="27">
        <v>68878</v>
      </c>
      <c r="G150" s="27">
        <v>67699</v>
      </c>
      <c r="H150" s="27">
        <v>68102</v>
      </c>
      <c r="J150" s="139"/>
    </row>
    <row r="151" spans="1:15" ht="15.75" hidden="1" customHeight="1" x14ac:dyDescent="0.2">
      <c r="B151" s="77" t="s">
        <v>762</v>
      </c>
      <c r="F151" s="17">
        <v>247634</v>
      </c>
      <c r="G151" s="27">
        <f>521000-G150-G152-G154</f>
        <v>342074</v>
      </c>
      <c r="H151" s="17">
        <v>213424</v>
      </c>
      <c r="I151" s="4"/>
      <c r="J151" s="139"/>
    </row>
    <row r="152" spans="1:15" s="16" customFormat="1" ht="15.75" hidden="1" customHeight="1" x14ac:dyDescent="0.2">
      <c r="A152" s="66"/>
      <c r="B152" s="77" t="s">
        <v>632</v>
      </c>
      <c r="C152"/>
      <c r="D152"/>
      <c r="F152" s="17">
        <v>161487</v>
      </c>
      <c r="G152" s="27">
        <v>106327</v>
      </c>
      <c r="H152" s="17">
        <v>133244</v>
      </c>
      <c r="J152" s="139"/>
    </row>
    <row r="153" spans="1:15" s="16" customFormat="1" ht="15.75" hidden="1" customHeight="1" x14ac:dyDescent="0.2">
      <c r="A153" s="66"/>
      <c r="B153" s="77" t="s">
        <v>638</v>
      </c>
      <c r="C153"/>
      <c r="D153"/>
      <c r="F153" s="17">
        <v>79531</v>
      </c>
      <c r="G153" s="27" t="s">
        <v>622</v>
      </c>
      <c r="H153" s="17">
        <v>78255</v>
      </c>
      <c r="J153" s="139"/>
    </row>
    <row r="154" spans="1:15" s="16" customFormat="1" ht="15.75" hidden="1" customHeight="1" x14ac:dyDescent="0.2">
      <c r="A154" s="66"/>
      <c r="B154" s="76" t="s">
        <v>766</v>
      </c>
      <c r="C154"/>
      <c r="D154"/>
      <c r="F154" s="17">
        <v>5604</v>
      </c>
      <c r="G154" s="27">
        <v>4900</v>
      </c>
      <c r="H154" s="17">
        <v>5269</v>
      </c>
      <c r="I154" s="24"/>
      <c r="J154" s="139"/>
    </row>
    <row r="155" spans="1:15" ht="15.75" hidden="1" customHeight="1" x14ac:dyDescent="0.2">
      <c r="D155" s="4"/>
      <c r="F155" s="46">
        <f>SUM(F150:F154)</f>
        <v>563134</v>
      </c>
      <c r="G155" s="46">
        <f>+'Comprehensive Income'!D24</f>
        <v>809000</v>
      </c>
      <c r="H155" s="46">
        <f>SUM(H150:H154)</f>
        <v>498294</v>
      </c>
    </row>
    <row r="156" spans="1:15" s="15" customFormat="1" ht="15.75" hidden="1" customHeight="1" x14ac:dyDescent="0.2">
      <c r="A156" s="82"/>
      <c r="B156" s="77"/>
      <c r="C156"/>
      <c r="D156"/>
      <c r="E156"/>
      <c r="F156" s="96"/>
      <c r="G156" s="2"/>
      <c r="H156" s="2"/>
    </row>
    <row r="157" spans="1:15" ht="15.75" customHeight="1" x14ac:dyDescent="0.2">
      <c r="A157" s="78">
        <f>A123+1</f>
        <v>11</v>
      </c>
      <c r="B157" s="78" t="s">
        <v>652</v>
      </c>
      <c r="C157" s="16"/>
      <c r="D157" s="16"/>
      <c r="E157" s="9"/>
      <c r="F157" s="67"/>
      <c r="G157" s="67"/>
      <c r="H157" s="332"/>
    </row>
    <row r="158" spans="1:15" ht="15.75" customHeight="1" x14ac:dyDescent="0.2">
      <c r="B158" s="50"/>
      <c r="E158" s="15"/>
      <c r="F158" s="43">
        <f>'Comprehensive Income'!$C$5</f>
        <v>2023</v>
      </c>
      <c r="G158" s="43">
        <f>'Comprehensive Income'!$D$5</f>
        <v>2023</v>
      </c>
      <c r="H158" s="43">
        <f>'Comprehensive Income'!$E$5</f>
        <v>2022</v>
      </c>
    </row>
    <row r="159" spans="1:15" ht="15.75" customHeight="1" x14ac:dyDescent="0.2">
      <c r="B159" s="50"/>
      <c r="F159" s="68" t="s">
        <v>606</v>
      </c>
      <c r="G159" s="68" t="s">
        <v>607</v>
      </c>
      <c r="H159" s="68" t="s">
        <v>606</v>
      </c>
      <c r="O159" t="s">
        <v>781</v>
      </c>
    </row>
    <row r="160" spans="1:15" ht="15.75" customHeight="1" x14ac:dyDescent="0.2">
      <c r="B160" s="50"/>
      <c r="F160" s="68"/>
      <c r="G160" s="73" t="s">
        <v>226</v>
      </c>
      <c r="H160" s="68"/>
    </row>
    <row r="161" spans="1:14" ht="15.75" customHeight="1" x14ac:dyDescent="0.2">
      <c r="B161" s="333"/>
      <c r="C161" s="5"/>
      <c r="F161" s="68" t="s">
        <v>605</v>
      </c>
      <c r="G161" s="68" t="s">
        <v>605</v>
      </c>
      <c r="H161" s="68" t="s">
        <v>605</v>
      </c>
      <c r="J161" s="4"/>
      <c r="K161" s="4"/>
      <c r="M161" s="16" t="s">
        <v>781</v>
      </c>
    </row>
    <row r="162" spans="1:14" ht="15.75" customHeight="1" x14ac:dyDescent="0.2">
      <c r="B162" s="66" t="s">
        <v>1699</v>
      </c>
      <c r="C162" s="5"/>
      <c r="F162" s="17">
        <f>'Codes allocation'!D1100</f>
        <v>206260</v>
      </c>
      <c r="G162" s="17">
        <f>'Codes allocation'!F1100</f>
        <v>2159441</v>
      </c>
      <c r="H162" s="17">
        <f>'Codes allocation'!H1100</f>
        <v>285191</v>
      </c>
      <c r="J162" s="139"/>
      <c r="M162" s="16" t="s">
        <v>781</v>
      </c>
    </row>
    <row r="163" spans="1:14" ht="15.75" customHeight="1" x14ac:dyDescent="0.2">
      <c r="B163" s="16" t="s">
        <v>1620</v>
      </c>
      <c r="D163" s="4"/>
      <c r="F163" s="27" t="s">
        <v>622</v>
      </c>
      <c r="G163" s="132">
        <v>0</v>
      </c>
      <c r="H163" s="132">
        <v>0</v>
      </c>
      <c r="J163" s="139"/>
      <c r="K163" s="4"/>
      <c r="L163" s="4"/>
      <c r="M163" s="4"/>
      <c r="N163" s="4"/>
    </row>
    <row r="164" spans="1:14" ht="15.75" customHeight="1" x14ac:dyDescent="0.2">
      <c r="B164" s="16"/>
      <c r="D164" s="4"/>
      <c r="F164" s="27"/>
      <c r="G164" s="132"/>
      <c r="H164" s="132"/>
      <c r="J164" s="139"/>
      <c r="K164" s="4"/>
      <c r="L164" s="4"/>
      <c r="M164" s="4"/>
      <c r="N164" s="4"/>
    </row>
    <row r="165" spans="1:14" ht="15.75" customHeight="1" thickBot="1" x14ac:dyDescent="0.25">
      <c r="B165" s="66" t="s">
        <v>1621</v>
      </c>
      <c r="F165" s="334">
        <f>SUM(F162:F163)</f>
        <v>206260</v>
      </c>
      <c r="G165" s="335">
        <f>SUM(G162:G163)</f>
        <v>2159441</v>
      </c>
      <c r="H165" s="334">
        <f>SUM(H162:H163)</f>
        <v>285191</v>
      </c>
      <c r="I165" s="4"/>
      <c r="J165" s="4"/>
      <c r="K165" s="4"/>
    </row>
    <row r="166" spans="1:14" ht="15.75" customHeight="1" thickTop="1" x14ac:dyDescent="0.2">
      <c r="F166" s="17"/>
      <c r="G166" s="17"/>
      <c r="H166" s="17"/>
      <c r="I166" s="31"/>
      <c r="J166" s="4"/>
      <c r="K166" s="4"/>
    </row>
    <row r="167" spans="1:14" ht="15.75" customHeight="1" x14ac:dyDescent="0.2">
      <c r="B167" s="77" t="s">
        <v>145</v>
      </c>
      <c r="F167" s="17"/>
      <c r="G167" s="17"/>
      <c r="H167" s="17"/>
      <c r="I167" s="31"/>
      <c r="J167" s="4"/>
      <c r="K167" s="4"/>
    </row>
    <row r="168" spans="1:14" ht="15.75" customHeight="1" x14ac:dyDescent="0.2">
      <c r="F168" s="17"/>
      <c r="G168" s="17"/>
      <c r="H168" s="17"/>
      <c r="I168" s="31"/>
      <c r="J168" s="4"/>
      <c r="K168" s="4"/>
    </row>
    <row r="169" spans="1:14" ht="27.75" customHeight="1" x14ac:dyDescent="0.2">
      <c r="B169" s="524" t="str">
        <f>"Of the $" &amp; TEXT(F165+F202,"#,##0")  &amp; " in the School's funds (including Cash and Cash Equivalents and Investments), $" &amp; TEXT(Equity!C23,"#,##0") &amp; " is held on behalf of Homai Special Funds (" &amp; Data!B2-1 &amp; ": $" &amp; TEXT(Equity!E23,"#,##0") &amp; ")"</f>
        <v>Of the $10,822,745 in the School's funds (including Cash and Cash Equivalents and Investments), $607,407 is held on behalf of Homai Special Funds (2022: $613,707)</v>
      </c>
      <c r="C169" s="524"/>
      <c r="D169" s="524"/>
      <c r="E169" s="524"/>
      <c r="F169" s="524"/>
      <c r="G169" s="524"/>
      <c r="H169" s="524"/>
      <c r="I169" s="31"/>
      <c r="J169" s="4"/>
      <c r="K169" s="4"/>
    </row>
    <row r="170" spans="1:14" ht="15.75" customHeight="1" x14ac:dyDescent="0.2">
      <c r="B170" s="91"/>
      <c r="C170" s="91"/>
      <c r="D170" s="91"/>
      <c r="E170" s="91"/>
      <c r="F170" s="91"/>
      <c r="G170" s="91"/>
      <c r="H170" s="91"/>
      <c r="J170" s="5"/>
    </row>
    <row r="171" spans="1:14" ht="15.75" customHeight="1" x14ac:dyDescent="0.25">
      <c r="A171" s="78">
        <f>A157+1</f>
        <v>12</v>
      </c>
      <c r="B171" s="79" t="s">
        <v>645</v>
      </c>
      <c r="E171" s="4"/>
      <c r="F171" s="17"/>
      <c r="G171" s="17"/>
    </row>
    <row r="172" spans="1:14" ht="15.75" customHeight="1" x14ac:dyDescent="0.2">
      <c r="B172" s="50"/>
      <c r="F172" s="43">
        <f>'Comprehensive Income'!$C$5</f>
        <v>2023</v>
      </c>
      <c r="G172" s="43">
        <f>'Comprehensive Income'!$D$5</f>
        <v>2023</v>
      </c>
      <c r="H172" s="43">
        <f>'Comprehensive Income'!$E$5</f>
        <v>2022</v>
      </c>
    </row>
    <row r="173" spans="1:14" ht="15.75" customHeight="1" x14ac:dyDescent="0.2">
      <c r="B173" s="50"/>
      <c r="F173" s="68" t="s">
        <v>606</v>
      </c>
      <c r="G173" s="68" t="s">
        <v>607</v>
      </c>
      <c r="H173" s="68" t="s">
        <v>606</v>
      </c>
      <c r="I173" s="4"/>
    </row>
    <row r="174" spans="1:14" ht="15.75" customHeight="1" x14ac:dyDescent="0.2">
      <c r="B174" s="50"/>
      <c r="F174" s="68"/>
      <c r="G174" s="73" t="s">
        <v>226</v>
      </c>
      <c r="H174" s="68"/>
      <c r="I174" s="4"/>
    </row>
    <row r="175" spans="1:14" ht="15.75" customHeight="1" x14ac:dyDescent="0.2">
      <c r="B175" s="333"/>
      <c r="C175" s="5"/>
      <c r="F175" s="68" t="s">
        <v>605</v>
      </c>
      <c r="G175" s="68" t="s">
        <v>605</v>
      </c>
      <c r="H175" s="68" t="s">
        <v>605</v>
      </c>
    </row>
    <row r="176" spans="1:14" ht="15.75" customHeight="1" x14ac:dyDescent="0.2">
      <c r="B176" s="16" t="s">
        <v>178</v>
      </c>
      <c r="C176" s="5"/>
      <c r="D176" s="137"/>
      <c r="E176" s="4"/>
      <c r="F176" s="17">
        <f>+'Codes allocation'!D1144</f>
        <v>187336</v>
      </c>
      <c r="G176" s="17">
        <f>+'Codes allocation'!F1144</f>
        <v>150007</v>
      </c>
      <c r="H176" s="17">
        <f>'Codes allocation'!H1144</f>
        <v>150007</v>
      </c>
      <c r="I176" s="4"/>
      <c r="J176" s="140"/>
      <c r="K176" s="4"/>
      <c r="L176" s="4"/>
    </row>
    <row r="177" spans="1:12" ht="15.75" customHeight="1" x14ac:dyDescent="0.2">
      <c r="B177" s="66" t="s">
        <v>943</v>
      </c>
      <c r="C177" s="5"/>
      <c r="D177" s="137"/>
      <c r="E177" s="4"/>
      <c r="F177" s="17">
        <f>+'Codes allocation'!D1145</f>
        <v>8204</v>
      </c>
      <c r="G177" s="336">
        <f>+'Codes allocation'!F1145</f>
        <v>5434</v>
      </c>
      <c r="H177" s="17">
        <f>+'Codes allocation'!H1145</f>
        <v>5434</v>
      </c>
      <c r="I177" s="4"/>
      <c r="J177" s="4"/>
      <c r="K177" s="4"/>
      <c r="L177" s="4"/>
    </row>
    <row r="178" spans="1:12" ht="15.75" customHeight="1" x14ac:dyDescent="0.2">
      <c r="B178" s="76" t="s">
        <v>146</v>
      </c>
      <c r="C178" s="5"/>
      <c r="D178" s="137"/>
      <c r="E178" s="4"/>
      <c r="F178" s="17">
        <f>+'Codes allocation'!D1147</f>
        <v>273538</v>
      </c>
      <c r="G178" s="17">
        <f>+'Codes allocation'!F1147</f>
        <v>87660</v>
      </c>
      <c r="H178" s="17">
        <f>+'Codes allocation'!H1147</f>
        <v>87660</v>
      </c>
      <c r="I178" s="4"/>
      <c r="J178" s="4"/>
      <c r="K178" s="4"/>
      <c r="L178" s="4"/>
    </row>
    <row r="179" spans="1:12" ht="15.75" customHeight="1" x14ac:dyDescent="0.2">
      <c r="B179" s="66" t="s">
        <v>1711</v>
      </c>
      <c r="C179" s="5"/>
      <c r="D179" s="137"/>
      <c r="E179" s="4"/>
      <c r="F179" s="17">
        <f>+'Codes allocation'!C1148</f>
        <v>415599</v>
      </c>
      <c r="G179" s="17">
        <f>+'Codes allocation'!F1148</f>
        <v>488263</v>
      </c>
      <c r="H179" s="17">
        <f>+'Codes allocation'!H1148</f>
        <v>488263</v>
      </c>
      <c r="I179" s="4"/>
      <c r="J179" s="140"/>
      <c r="K179" s="4"/>
      <c r="L179" s="4"/>
    </row>
    <row r="180" spans="1:12" ht="15.75" customHeight="1" x14ac:dyDescent="0.2">
      <c r="B180" s="76" t="s">
        <v>639</v>
      </c>
      <c r="E180" s="88"/>
      <c r="F180" s="326">
        <f>+'Codes allocation'!D1146</f>
        <v>1204657</v>
      </c>
      <c r="G180" s="326">
        <f>+'Codes allocation'!F1146</f>
        <v>1080846</v>
      </c>
      <c r="H180" s="326">
        <f>+'Codes allocation'!H1146</f>
        <v>1080846</v>
      </c>
      <c r="I180" s="5"/>
    </row>
    <row r="181" spans="1:12" ht="15.75" customHeight="1" thickBot="1" x14ac:dyDescent="0.25">
      <c r="F181" s="334">
        <f>SUM(F176:F180)</f>
        <v>2089334</v>
      </c>
      <c r="G181" s="334">
        <f>SUM(G176:G180)</f>
        <v>1812210</v>
      </c>
      <c r="H181" s="334">
        <f>SUM(H176:H180)</f>
        <v>1812210</v>
      </c>
    </row>
    <row r="182" spans="1:12" ht="15.75" customHeight="1" thickTop="1" x14ac:dyDescent="0.2">
      <c r="F182" s="34"/>
      <c r="G182" s="34"/>
      <c r="H182" s="34"/>
    </row>
    <row r="183" spans="1:12" ht="15.75" customHeight="1" x14ac:dyDescent="0.2">
      <c r="B183" s="77" t="s">
        <v>147</v>
      </c>
      <c r="F183" s="34">
        <f>+F178</f>
        <v>273538</v>
      </c>
      <c r="G183" s="34">
        <f>+G178</f>
        <v>87660</v>
      </c>
      <c r="H183" s="34">
        <f>+H178</f>
        <v>87660</v>
      </c>
    </row>
    <row r="184" spans="1:12" ht="15.75" customHeight="1" x14ac:dyDescent="0.2">
      <c r="B184" s="77" t="s">
        <v>148</v>
      </c>
      <c r="F184" s="34">
        <f>+F181-F183</f>
        <v>1815796</v>
      </c>
      <c r="G184" s="34">
        <f>+G181-G178</f>
        <v>1724550</v>
      </c>
      <c r="H184" s="34">
        <f>H181-H183</f>
        <v>1724550</v>
      </c>
    </row>
    <row r="185" spans="1:12" ht="15.75" customHeight="1" thickBot="1" x14ac:dyDescent="0.25">
      <c r="F185" s="337">
        <f>SUM(F183:F184)</f>
        <v>2089334</v>
      </c>
      <c r="G185" s="337">
        <f>SUM(G183:G184)</f>
        <v>1812210</v>
      </c>
      <c r="H185" s="337">
        <f>H181</f>
        <v>1812210</v>
      </c>
    </row>
    <row r="186" spans="1:12" ht="15.75" customHeight="1" thickTop="1" x14ac:dyDescent="0.2">
      <c r="F186" s="34"/>
      <c r="G186" s="34"/>
      <c r="H186" s="34"/>
    </row>
    <row r="187" spans="1:12" ht="15.75" customHeight="1" x14ac:dyDescent="0.2">
      <c r="F187" s="34"/>
      <c r="G187" s="34"/>
      <c r="H187" s="34"/>
    </row>
    <row r="188" spans="1:12" ht="15.75" customHeight="1" x14ac:dyDescent="0.25">
      <c r="A188" s="78">
        <f>+A171+1</f>
        <v>13</v>
      </c>
      <c r="B188" s="79" t="s">
        <v>614</v>
      </c>
      <c r="F188" s="34"/>
      <c r="G188" s="34"/>
      <c r="H188" s="34"/>
    </row>
    <row r="189" spans="1:12" ht="15.75" customHeight="1" x14ac:dyDescent="0.2">
      <c r="F189" s="43">
        <f>'Comprehensive Income'!$C$5</f>
        <v>2023</v>
      </c>
      <c r="G189" s="43">
        <f>'Comprehensive Income'!$D$5</f>
        <v>2023</v>
      </c>
      <c r="H189" s="43">
        <f>'Comprehensive Income'!$E$5</f>
        <v>2022</v>
      </c>
    </row>
    <row r="190" spans="1:12" ht="15.75" customHeight="1" x14ac:dyDescent="0.2">
      <c r="F190" s="68" t="s">
        <v>606</v>
      </c>
      <c r="G190" s="68" t="s">
        <v>607</v>
      </c>
      <c r="H190" s="68" t="s">
        <v>606</v>
      </c>
    </row>
    <row r="191" spans="1:12" ht="15.75" customHeight="1" x14ac:dyDescent="0.2">
      <c r="F191" s="68"/>
      <c r="G191" s="73" t="s">
        <v>226</v>
      </c>
      <c r="H191" s="68"/>
    </row>
    <row r="192" spans="1:12" ht="15.75" customHeight="1" x14ac:dyDescent="0.2">
      <c r="F192" s="68" t="s">
        <v>605</v>
      </c>
      <c r="G192" s="68" t="s">
        <v>605</v>
      </c>
      <c r="H192" s="68" t="s">
        <v>605</v>
      </c>
    </row>
    <row r="193" spans="1:11" ht="15.75" customHeight="1" x14ac:dyDescent="0.2">
      <c r="B193" s="77" t="s">
        <v>757</v>
      </c>
      <c r="F193" s="34">
        <f>+'Codes allocation'!D1157</f>
        <v>3557</v>
      </c>
      <c r="G193" s="34">
        <f>+'Codes allocation'!F1157</f>
        <v>3595</v>
      </c>
      <c r="H193" s="34">
        <f>+'Codes allocation'!H1157</f>
        <v>3595</v>
      </c>
    </row>
    <row r="194" spans="1:11" ht="15.75" customHeight="1" x14ac:dyDescent="0.2">
      <c r="F194" s="34"/>
      <c r="G194" s="34"/>
      <c r="H194" s="34"/>
    </row>
    <row r="195" spans="1:11" ht="15.75" customHeight="1" thickBot="1" x14ac:dyDescent="0.25">
      <c r="F195" s="337">
        <f>SUM(F193:F194)</f>
        <v>3557</v>
      </c>
      <c r="G195" s="337">
        <f t="shared" ref="G195:H195" si="0">SUM(G193:G194)</f>
        <v>3595</v>
      </c>
      <c r="H195" s="337">
        <f t="shared" si="0"/>
        <v>3595</v>
      </c>
    </row>
    <row r="196" spans="1:11" ht="15.75" customHeight="1" thickTop="1" x14ac:dyDescent="0.2">
      <c r="F196" s="34"/>
      <c r="G196" s="34"/>
      <c r="H196" s="34"/>
    </row>
    <row r="197" spans="1:11" ht="15.75" customHeight="1" x14ac:dyDescent="0.25">
      <c r="A197" s="78">
        <f>+A188+1</f>
        <v>14</v>
      </c>
      <c r="B197" s="79" t="s">
        <v>763</v>
      </c>
      <c r="E197" s="4"/>
      <c r="F197" s="17"/>
      <c r="G197" s="17"/>
    </row>
    <row r="198" spans="1:11" ht="15.75" customHeight="1" x14ac:dyDescent="0.2">
      <c r="B198" s="77" t="s">
        <v>149</v>
      </c>
      <c r="E198" s="4"/>
      <c r="F198" s="43">
        <f>'Comprehensive Income'!$C$5</f>
        <v>2023</v>
      </c>
      <c r="G198" s="43">
        <f>'Comprehensive Income'!$D$5</f>
        <v>2023</v>
      </c>
      <c r="H198" s="43">
        <f>'Comprehensive Income'!$E$5</f>
        <v>2022</v>
      </c>
    </row>
    <row r="199" spans="1:11" ht="15.75" customHeight="1" x14ac:dyDescent="0.2">
      <c r="E199" s="4"/>
      <c r="F199" s="68" t="s">
        <v>606</v>
      </c>
      <c r="G199" s="68" t="s">
        <v>607</v>
      </c>
      <c r="H199" s="68" t="s">
        <v>606</v>
      </c>
    </row>
    <row r="200" spans="1:11" ht="15.75" customHeight="1" x14ac:dyDescent="0.2">
      <c r="E200" s="4"/>
      <c r="F200" s="68"/>
      <c r="G200" s="73" t="s">
        <v>226</v>
      </c>
      <c r="H200" s="68"/>
    </row>
    <row r="201" spans="1:11" ht="15.75" customHeight="1" x14ac:dyDescent="0.2">
      <c r="B201" s="77" t="s">
        <v>624</v>
      </c>
      <c r="E201" s="4"/>
      <c r="F201" s="68" t="s">
        <v>605</v>
      </c>
      <c r="G201" s="68" t="s">
        <v>605</v>
      </c>
      <c r="H201" s="68" t="s">
        <v>605</v>
      </c>
    </row>
    <row r="202" spans="1:11" ht="15.75" customHeight="1" x14ac:dyDescent="0.2">
      <c r="A202" s="76"/>
      <c r="B202" s="527" t="s">
        <v>1620</v>
      </c>
      <c r="C202" s="527"/>
      <c r="D202" s="527"/>
      <c r="E202" s="527"/>
      <c r="F202" s="74">
        <f>'Codes allocation'!D1127</f>
        <v>10616485</v>
      </c>
      <c r="G202" s="74">
        <f>'Codes allocation'!F1127</f>
        <v>6090750</v>
      </c>
      <c r="H202" s="74">
        <f>'Codes allocation'!H1127</f>
        <v>9090750</v>
      </c>
      <c r="I202" s="33"/>
      <c r="J202" s="139"/>
      <c r="K202" s="33"/>
    </row>
    <row r="203" spans="1:11" ht="15.75" customHeight="1" x14ac:dyDescent="0.2">
      <c r="D203" s="3"/>
      <c r="F203" s="34"/>
      <c r="G203" s="34"/>
      <c r="H203" s="48"/>
    </row>
    <row r="204" spans="1:11" ht="15.75" customHeight="1" thickBot="1" x14ac:dyDescent="0.25">
      <c r="B204" s="66" t="s">
        <v>1744</v>
      </c>
      <c r="D204" s="3"/>
      <c r="F204" s="337">
        <f>SUM(F202:F203)</f>
        <v>10616485</v>
      </c>
      <c r="G204" s="337">
        <f t="shared" ref="G204:H204" si="1">SUM(G202:G203)</f>
        <v>6090750</v>
      </c>
      <c r="H204" s="337">
        <f t="shared" si="1"/>
        <v>9090750</v>
      </c>
    </row>
    <row r="205" spans="1:11" ht="15.75" hidden="1" customHeight="1" x14ac:dyDescent="0.2">
      <c r="B205" s="77" t="s">
        <v>150</v>
      </c>
      <c r="D205" s="3"/>
      <c r="F205" s="34"/>
      <c r="G205" s="34"/>
      <c r="H205" s="48"/>
    </row>
    <row r="206" spans="1:11" ht="15.75" hidden="1" customHeight="1" x14ac:dyDescent="0.2">
      <c r="B206" s="77" t="s">
        <v>151</v>
      </c>
      <c r="D206" s="3"/>
      <c r="F206" s="34">
        <v>0</v>
      </c>
      <c r="G206" s="34">
        <v>0</v>
      </c>
      <c r="H206" s="34">
        <v>0</v>
      </c>
      <c r="J206" s="139"/>
    </row>
    <row r="207" spans="1:11" ht="15.75" hidden="1" customHeight="1" x14ac:dyDescent="0.2">
      <c r="D207" s="3"/>
      <c r="F207" s="34"/>
      <c r="G207" s="34"/>
      <c r="H207" s="48"/>
    </row>
    <row r="208" spans="1:11" ht="15.75" hidden="1" customHeight="1" x14ac:dyDescent="0.2">
      <c r="D208" s="3"/>
      <c r="F208" s="34"/>
      <c r="G208" s="34"/>
      <c r="H208" s="48"/>
    </row>
    <row r="209" spans="1:15" ht="15.75" hidden="1" customHeight="1" x14ac:dyDescent="0.2">
      <c r="B209" s="66" t="str">
        <f>"The carrying value of long term deposits longer than 12 months approximates their fair value at 31 December " &amp; Data!B2 &amp; "."</f>
        <v>The carrying value of long term deposits longer than 12 months approximates their fair value at 31 December 2023.</v>
      </c>
      <c r="D209" s="3"/>
      <c r="F209" s="34"/>
      <c r="G209" s="34"/>
      <c r="H209" s="48"/>
    </row>
    <row r="210" spans="1:15" ht="15.75" customHeight="1" thickTop="1" x14ac:dyDescent="0.2">
      <c r="D210" s="3"/>
      <c r="F210" s="34"/>
      <c r="G210" s="34"/>
      <c r="H210" s="48"/>
    </row>
    <row r="211" spans="1:15" s="15" customFormat="1" ht="15.75" customHeight="1" x14ac:dyDescent="0.2">
      <c r="A211" s="78">
        <f>A197+1</f>
        <v>15</v>
      </c>
      <c r="B211" s="78" t="s">
        <v>653</v>
      </c>
      <c r="C211" s="9"/>
      <c r="D211" s="32"/>
      <c r="E211" s="32"/>
      <c r="F211" s="43"/>
      <c r="G211" s="43"/>
      <c r="H211" s="43"/>
      <c r="J211" s="139"/>
    </row>
    <row r="212" spans="1:15" ht="43.5" customHeight="1" x14ac:dyDescent="0.2">
      <c r="B212" s="66"/>
      <c r="C212" s="29" t="s">
        <v>1505</v>
      </c>
      <c r="D212" s="36" t="s">
        <v>153</v>
      </c>
      <c r="E212" s="126" t="s">
        <v>154</v>
      </c>
      <c r="F212" s="126" t="s">
        <v>155</v>
      </c>
      <c r="G212" s="126" t="s">
        <v>612</v>
      </c>
      <c r="H212" s="125" t="s">
        <v>1506</v>
      </c>
    </row>
    <row r="213" spans="1:15" ht="15.75" customHeight="1" x14ac:dyDescent="0.2">
      <c r="B213" s="127">
        <f>'Comprehensive Income'!C5</f>
        <v>2023</v>
      </c>
      <c r="C213" s="36" t="s">
        <v>605</v>
      </c>
      <c r="D213" s="36" t="s">
        <v>605</v>
      </c>
      <c r="E213" s="36" t="s">
        <v>605</v>
      </c>
      <c r="F213" s="36" t="s">
        <v>605</v>
      </c>
      <c r="G213" s="36" t="s">
        <v>605</v>
      </c>
      <c r="H213" s="36" t="s">
        <v>605</v>
      </c>
    </row>
    <row r="214" spans="1:15" ht="15.75" customHeight="1" x14ac:dyDescent="0.2">
      <c r="B214" s="77" t="s">
        <v>683</v>
      </c>
      <c r="C214" s="64">
        <f t="shared" ref="C214:C219" si="2">H227</f>
        <v>1087726</v>
      </c>
      <c r="D214" s="64">
        <v>65758</v>
      </c>
      <c r="E214" s="64">
        <v>0</v>
      </c>
      <c r="F214" s="64">
        <v>0</v>
      </c>
      <c r="G214" s="338">
        <v>-82736</v>
      </c>
      <c r="H214" s="64">
        <f>+C214+D214+E214+G214</f>
        <v>1070748</v>
      </c>
    </row>
    <row r="215" spans="1:15" ht="15.75" customHeight="1" x14ac:dyDescent="0.2">
      <c r="B215" s="77" t="s">
        <v>762</v>
      </c>
      <c r="C215" s="64">
        <f t="shared" si="2"/>
        <v>1179659</v>
      </c>
      <c r="D215" s="64">
        <f>442991-D219</f>
        <v>375685</v>
      </c>
      <c r="E215" s="338">
        <v>-5121</v>
      </c>
      <c r="F215" s="64">
        <v>0</v>
      </c>
      <c r="G215" s="338">
        <f>-353755-G219</f>
        <v>-198437</v>
      </c>
      <c r="H215" s="64">
        <f t="shared" ref="H215:H220" si="3">+C215+D215+E215+G215</f>
        <v>1351786</v>
      </c>
      <c r="J215" s="95"/>
    </row>
    <row r="216" spans="1:15" ht="15.75" customHeight="1" x14ac:dyDescent="0.2">
      <c r="B216" s="76" t="s">
        <v>632</v>
      </c>
      <c r="C216" s="64">
        <f t="shared" si="2"/>
        <v>569919</v>
      </c>
      <c r="D216" s="64">
        <v>125918</v>
      </c>
      <c r="E216" s="338">
        <v>-7790</v>
      </c>
      <c r="F216" s="64">
        <v>0</v>
      </c>
      <c r="G216" s="338">
        <v>-187823</v>
      </c>
      <c r="H216" s="64">
        <f t="shared" si="3"/>
        <v>500224</v>
      </c>
    </row>
    <row r="217" spans="1:15" ht="15.75" customHeight="1" x14ac:dyDescent="0.2">
      <c r="B217" s="66" t="s">
        <v>638</v>
      </c>
      <c r="C217" s="64">
        <f t="shared" si="2"/>
        <v>146073</v>
      </c>
      <c r="D217" s="64">
        <v>67866</v>
      </c>
      <c r="E217" s="373">
        <v>0</v>
      </c>
      <c r="F217" s="64">
        <v>0</v>
      </c>
      <c r="G217" s="338">
        <v>-88368</v>
      </c>
      <c r="H217" s="64">
        <f t="shared" si="3"/>
        <v>125571</v>
      </c>
    </row>
    <row r="218" spans="1:15" ht="15.75" customHeight="1" x14ac:dyDescent="0.2">
      <c r="B218" s="76" t="s">
        <v>764</v>
      </c>
      <c r="C218" s="64">
        <f t="shared" si="2"/>
        <v>10238</v>
      </c>
      <c r="D218" s="373">
        <v>0</v>
      </c>
      <c r="E218" s="373">
        <v>0</v>
      </c>
      <c r="F218" s="64">
        <v>0</v>
      </c>
      <c r="G218" s="338">
        <v>-704</v>
      </c>
      <c r="H218" s="64">
        <f t="shared" si="3"/>
        <v>9534</v>
      </c>
      <c r="J218" s="4"/>
    </row>
    <row r="219" spans="1:15" s="15" customFormat="1" ht="15.75" customHeight="1" x14ac:dyDescent="0.2">
      <c r="A219" s="82"/>
      <c r="B219" s="66" t="s">
        <v>1542</v>
      </c>
      <c r="C219" s="159">
        <f t="shared" si="2"/>
        <v>6070085</v>
      </c>
      <c r="D219" s="64">
        <v>67306</v>
      </c>
      <c r="E219" s="373">
        <v>0</v>
      </c>
      <c r="F219" s="64">
        <v>0</v>
      </c>
      <c r="G219" s="338">
        <v>-155318</v>
      </c>
      <c r="H219" s="64">
        <f t="shared" si="3"/>
        <v>5982073</v>
      </c>
    </row>
    <row r="220" spans="1:15" s="15" customFormat="1" ht="15.75" customHeight="1" x14ac:dyDescent="0.2">
      <c r="A220" s="82"/>
      <c r="B220" s="66" t="s">
        <v>1695</v>
      </c>
      <c r="C220" s="374">
        <v>0</v>
      </c>
      <c r="D220" s="64">
        <v>195</v>
      </c>
      <c r="E220" s="373">
        <v>0</v>
      </c>
      <c r="F220" s="64">
        <v>0</v>
      </c>
      <c r="G220" s="338">
        <v>-24</v>
      </c>
      <c r="H220" s="64">
        <f t="shared" si="3"/>
        <v>171</v>
      </c>
    </row>
    <row r="221" spans="1:15" ht="15.75" customHeight="1" thickBot="1" x14ac:dyDescent="0.25">
      <c r="B221" s="19" t="s">
        <v>1657</v>
      </c>
      <c r="C221" s="182">
        <f>SUM(C214:C220)</f>
        <v>9063700</v>
      </c>
      <c r="D221" s="182">
        <f>SUM(D214:D220)</f>
        <v>702728</v>
      </c>
      <c r="E221" s="183">
        <f>SUM(E214:E220)</f>
        <v>-12911</v>
      </c>
      <c r="F221" s="182">
        <f t="shared" ref="F221" si="4">SUM(F214:F219)</f>
        <v>0</v>
      </c>
      <c r="G221" s="183">
        <f>SUM(G214:G220)</f>
        <v>-713410</v>
      </c>
      <c r="H221" s="182">
        <f>SUM(H214:H220)</f>
        <v>9040107</v>
      </c>
      <c r="J221" s="64"/>
    </row>
    <row r="222" spans="1:15" ht="15.75" customHeight="1" thickTop="1" x14ac:dyDescent="0.2">
      <c r="B222" s="13"/>
      <c r="C222" s="13"/>
      <c r="D222" s="13"/>
      <c r="E222" s="13"/>
      <c r="F222" s="13"/>
      <c r="H222" s="10"/>
    </row>
    <row r="223" spans="1:15" ht="15.75" customHeight="1" x14ac:dyDescent="0.2">
      <c r="B223" s="127"/>
      <c r="F223" s="38"/>
      <c r="G223" s="38"/>
      <c r="H223" s="38"/>
      <c r="I223" s="4"/>
      <c r="K223" s="33"/>
      <c r="L223" s="33"/>
    </row>
    <row r="224" spans="1:15" ht="15.75" customHeight="1" x14ac:dyDescent="0.2">
      <c r="B224" s="66"/>
      <c r="C224" s="36">
        <v>2023</v>
      </c>
      <c r="D224" s="36">
        <v>2023</v>
      </c>
      <c r="E224" s="36">
        <v>2023</v>
      </c>
      <c r="F224" s="36">
        <v>2022</v>
      </c>
      <c r="G224" s="36">
        <v>2022</v>
      </c>
      <c r="H224" s="36">
        <v>2022</v>
      </c>
      <c r="O224" s="16" t="s">
        <v>781</v>
      </c>
    </row>
    <row r="225" spans="1:15" ht="27.75" customHeight="1" x14ac:dyDescent="0.2">
      <c r="C225" s="126" t="s">
        <v>157</v>
      </c>
      <c r="D225" s="126" t="s">
        <v>158</v>
      </c>
      <c r="E225" s="128" t="s">
        <v>159</v>
      </c>
      <c r="F225" s="126" t="s">
        <v>157</v>
      </c>
      <c r="G225" s="126" t="s">
        <v>158</v>
      </c>
      <c r="H225" s="128" t="s">
        <v>159</v>
      </c>
      <c r="O225" t="s">
        <v>781</v>
      </c>
    </row>
    <row r="226" spans="1:15" ht="15.75" customHeight="1" x14ac:dyDescent="0.2">
      <c r="B226" s="76"/>
      <c r="C226" s="129" t="s">
        <v>605</v>
      </c>
      <c r="D226" s="129" t="s">
        <v>605</v>
      </c>
      <c r="E226" s="129" t="s">
        <v>605</v>
      </c>
      <c r="F226" s="129" t="s">
        <v>605</v>
      </c>
      <c r="G226" s="129" t="s">
        <v>605</v>
      </c>
      <c r="H226" s="129" t="s">
        <v>605</v>
      </c>
    </row>
    <row r="227" spans="1:15" ht="15.75" customHeight="1" x14ac:dyDescent="0.2">
      <c r="B227" s="77" t="s">
        <v>683</v>
      </c>
      <c r="C227" s="74">
        <v>1679288</v>
      </c>
      <c r="D227" s="74">
        <f t="shared" ref="D227:D233" si="5">-(+C227-E227)</f>
        <v>-608540</v>
      </c>
      <c r="E227" s="64">
        <f t="shared" ref="E227:E233" si="6">H214</f>
        <v>1070748</v>
      </c>
      <c r="F227" s="74">
        <v>1613530</v>
      </c>
      <c r="G227" s="74">
        <v>-525804</v>
      </c>
      <c r="H227" s="64">
        <f>F227+G227</f>
        <v>1087726</v>
      </c>
      <c r="J227" s="33"/>
    </row>
    <row r="228" spans="1:15" s="23" customFormat="1" ht="15.75" customHeight="1" x14ac:dyDescent="0.2">
      <c r="A228" s="81"/>
      <c r="B228" s="77" t="s">
        <v>762</v>
      </c>
      <c r="C228" s="74">
        <v>3898025</v>
      </c>
      <c r="D228" s="74">
        <f t="shared" si="5"/>
        <v>-2546239</v>
      </c>
      <c r="E228" s="64">
        <f t="shared" si="6"/>
        <v>1351786</v>
      </c>
      <c r="F228" s="74">
        <v>3657941</v>
      </c>
      <c r="G228" s="74">
        <v>-2480217</v>
      </c>
      <c r="H228" s="64">
        <v>1179659</v>
      </c>
      <c r="J228" s="33"/>
    </row>
    <row r="229" spans="1:15" s="23" customFormat="1" ht="15.75" customHeight="1" x14ac:dyDescent="0.2">
      <c r="A229" s="81"/>
      <c r="B229" s="76" t="s">
        <v>632</v>
      </c>
      <c r="C229" s="74">
        <v>1253423</v>
      </c>
      <c r="D229" s="74">
        <f t="shared" si="5"/>
        <v>-753199</v>
      </c>
      <c r="E229" s="64">
        <f t="shared" si="6"/>
        <v>500224</v>
      </c>
      <c r="F229" s="74">
        <v>1359964</v>
      </c>
      <c r="G229" s="74">
        <v>-790045</v>
      </c>
      <c r="H229" s="64">
        <f t="shared" ref="H229:H230" si="7">F229+G229</f>
        <v>569919</v>
      </c>
      <c r="J229" s="33"/>
    </row>
    <row r="230" spans="1:15" s="23" customFormat="1" ht="15.75" customHeight="1" x14ac:dyDescent="0.2">
      <c r="A230" s="81"/>
      <c r="B230" s="66" t="s">
        <v>792</v>
      </c>
      <c r="C230" s="74">
        <v>299864</v>
      </c>
      <c r="D230" s="74">
        <f t="shared" si="5"/>
        <v>-174293</v>
      </c>
      <c r="E230" s="64">
        <f t="shared" si="6"/>
        <v>125571</v>
      </c>
      <c r="F230" s="74">
        <v>297301</v>
      </c>
      <c r="G230" s="74">
        <v>-151228</v>
      </c>
      <c r="H230" s="64">
        <f t="shared" si="7"/>
        <v>146073</v>
      </c>
      <c r="J230" s="33"/>
    </row>
    <row r="231" spans="1:15" s="375" customFormat="1" ht="15.75" customHeight="1" x14ac:dyDescent="0.25">
      <c r="A231" s="212"/>
      <c r="B231" s="76" t="s">
        <v>764</v>
      </c>
      <c r="C231" s="74">
        <v>3913</v>
      </c>
      <c r="D231" s="74">
        <f t="shared" si="5"/>
        <v>5621</v>
      </c>
      <c r="E231" s="64">
        <f t="shared" si="6"/>
        <v>9534</v>
      </c>
      <c r="F231" s="74">
        <v>3913</v>
      </c>
      <c r="G231" s="74">
        <v>6325</v>
      </c>
      <c r="H231" s="64">
        <v>10238</v>
      </c>
      <c r="J231" s="33"/>
    </row>
    <row r="232" spans="1:15" s="375" customFormat="1" ht="15.75" customHeight="1" x14ac:dyDescent="0.25">
      <c r="A232" s="212"/>
      <c r="B232" s="277" t="s">
        <v>1542</v>
      </c>
      <c r="C232" s="372">
        <v>6212737</v>
      </c>
      <c r="D232" s="74">
        <f t="shared" si="5"/>
        <v>-230664</v>
      </c>
      <c r="E232" s="64">
        <f t="shared" si="6"/>
        <v>5982073</v>
      </c>
      <c r="F232" s="64">
        <v>6145430</v>
      </c>
      <c r="G232" s="74">
        <v>0</v>
      </c>
      <c r="H232" s="64">
        <v>6070085</v>
      </c>
      <c r="J232" s="33"/>
    </row>
    <row r="233" spans="1:15" s="375" customFormat="1" ht="15.75" customHeight="1" x14ac:dyDescent="0.25">
      <c r="A233" s="212"/>
      <c r="B233" s="277" t="s">
        <v>1695</v>
      </c>
      <c r="C233" s="372">
        <v>195</v>
      </c>
      <c r="D233" s="74">
        <f t="shared" si="5"/>
        <v>-24</v>
      </c>
      <c r="E233" s="64">
        <f t="shared" si="6"/>
        <v>171</v>
      </c>
      <c r="F233" s="373" t="s">
        <v>622</v>
      </c>
      <c r="G233" s="74">
        <v>0</v>
      </c>
      <c r="H233" s="381" t="s">
        <v>622</v>
      </c>
      <c r="J233" s="33"/>
    </row>
    <row r="234" spans="1:15" ht="15.75" customHeight="1" thickBot="1" x14ac:dyDescent="0.25">
      <c r="B234" s="19" t="s">
        <v>1540</v>
      </c>
      <c r="C234" s="214">
        <f>SUM(C227:C233)</f>
        <v>13347445</v>
      </c>
      <c r="D234" s="183">
        <f>SUM(D227:D233)</f>
        <v>-4307338</v>
      </c>
      <c r="E234" s="214">
        <f>SUM(E227:E233)</f>
        <v>9040107</v>
      </c>
      <c r="F234" s="371">
        <f t="shared" ref="F234:H234" si="8">SUM(F227:F232)</f>
        <v>13078079</v>
      </c>
      <c r="G234" s="371">
        <v>-3939034</v>
      </c>
      <c r="H234" s="371">
        <f t="shared" si="8"/>
        <v>9063700</v>
      </c>
      <c r="K234" s="94"/>
    </row>
    <row r="235" spans="1:15" ht="15.75" customHeight="1" thickTop="1" x14ac:dyDescent="0.2">
      <c r="B235" s="76"/>
      <c r="C235" s="5"/>
      <c r="D235" s="5"/>
      <c r="E235" s="5"/>
      <c r="F235" s="12"/>
      <c r="G235" s="63"/>
      <c r="H235" s="63"/>
      <c r="J235" s="5"/>
    </row>
    <row r="236" spans="1:15" ht="15.75" customHeight="1" x14ac:dyDescent="0.2">
      <c r="B236" s="66" t="str">
        <f>"The net carrying value of equipment held under a finance lease is $" &amp; TEXT(H217,"#,##0") &amp; " (" &amp; Data!B2-1 &amp; ": $" &amp; TEXT(H230,"#,##0") &amp; ")"</f>
        <v>The net carrying value of equipment held under a finance lease is $125,571 (2022: $146,073)</v>
      </c>
      <c r="C236" s="5"/>
      <c r="D236" s="5"/>
      <c r="E236" s="5"/>
      <c r="F236" s="12"/>
      <c r="G236" s="63"/>
      <c r="H236" s="63"/>
      <c r="J236" s="5"/>
    </row>
    <row r="237" spans="1:15" ht="15.75" customHeight="1" x14ac:dyDescent="0.2">
      <c r="B237" s="312" t="s">
        <v>1623</v>
      </c>
      <c r="C237" s="5"/>
      <c r="D237" s="5"/>
      <c r="E237" s="5"/>
      <c r="F237" s="12"/>
      <c r="G237" s="63"/>
      <c r="H237" s="63"/>
    </row>
    <row r="238" spans="1:15" ht="18" customHeight="1" x14ac:dyDescent="0.2">
      <c r="B238" s="519" t="s">
        <v>1622</v>
      </c>
      <c r="C238" s="519"/>
      <c r="D238" s="519"/>
      <c r="E238" s="519"/>
      <c r="F238" s="519"/>
      <c r="G238" s="519"/>
      <c r="H238" s="519"/>
    </row>
    <row r="239" spans="1:15" ht="33" hidden="1" customHeight="1" x14ac:dyDescent="0.2">
      <c r="B239" s="515"/>
      <c r="C239" s="515"/>
      <c r="D239" s="515"/>
      <c r="E239" s="515"/>
      <c r="F239" s="515"/>
      <c r="G239" s="515"/>
      <c r="H239" s="515"/>
      <c r="I239" s="515"/>
      <c r="J239" s="5"/>
    </row>
    <row r="240" spans="1:15" ht="38.25" hidden="1" customHeight="1" x14ac:dyDescent="0.2">
      <c r="B240" s="66"/>
      <c r="C240" s="29" t="s">
        <v>152</v>
      </c>
      <c r="D240" s="36" t="s">
        <v>153</v>
      </c>
      <c r="E240" s="126" t="s">
        <v>154</v>
      </c>
      <c r="F240" s="126" t="s">
        <v>155</v>
      </c>
      <c r="G240" s="126" t="s">
        <v>612</v>
      </c>
      <c r="H240" s="125" t="s">
        <v>156</v>
      </c>
    </row>
    <row r="241" spans="2:15" ht="15.75" hidden="1" customHeight="1" x14ac:dyDescent="0.2">
      <c r="B241" s="127">
        <f>'Comprehensive Income'!C5-1</f>
        <v>2022</v>
      </c>
      <c r="C241" s="36" t="s">
        <v>605</v>
      </c>
      <c r="D241" s="36" t="s">
        <v>605</v>
      </c>
      <c r="E241" s="36" t="s">
        <v>605</v>
      </c>
      <c r="F241" s="36" t="s">
        <v>605</v>
      </c>
      <c r="G241" s="36" t="s">
        <v>605</v>
      </c>
      <c r="H241" s="36" t="s">
        <v>605</v>
      </c>
    </row>
    <row r="242" spans="2:15" ht="15.75" hidden="1" customHeight="1" x14ac:dyDescent="0.2">
      <c r="B242" s="77" t="s">
        <v>683</v>
      </c>
      <c r="C242" s="64">
        <v>1048411</v>
      </c>
      <c r="D242" s="64">
        <v>31036</v>
      </c>
      <c r="E242" s="177">
        <v>0</v>
      </c>
      <c r="F242" s="132">
        <v>0</v>
      </c>
      <c r="G242" s="177">
        <v>-68878</v>
      </c>
      <c r="H242" s="64">
        <v>1010569</v>
      </c>
      <c r="J242" s="33"/>
    </row>
    <row r="243" spans="2:15" ht="15.75" hidden="1" customHeight="1" x14ac:dyDescent="0.2">
      <c r="B243" s="77" t="s">
        <v>762</v>
      </c>
      <c r="C243" s="64">
        <v>1402358</v>
      </c>
      <c r="D243" s="64">
        <v>1187324</v>
      </c>
      <c r="E243" s="177">
        <v>-1183</v>
      </c>
      <c r="F243" s="132">
        <v>0</v>
      </c>
      <c r="G243" s="177">
        <v>-247634</v>
      </c>
      <c r="H243" s="64">
        <v>2340865</v>
      </c>
      <c r="J243" s="33"/>
    </row>
    <row r="244" spans="2:15" ht="15.75" hidden="1" customHeight="1" x14ac:dyDescent="0.2">
      <c r="B244" s="76" t="s">
        <v>632</v>
      </c>
      <c r="C244" s="64">
        <v>478947</v>
      </c>
      <c r="D244" s="64">
        <v>240151</v>
      </c>
      <c r="E244" s="177">
        <v>-7667</v>
      </c>
      <c r="F244" s="132">
        <v>0</v>
      </c>
      <c r="G244" s="177">
        <v>-161487</v>
      </c>
      <c r="H244" s="64">
        <v>549944</v>
      </c>
      <c r="J244" s="33"/>
    </row>
    <row r="245" spans="2:15" ht="15.75" hidden="1" customHeight="1" x14ac:dyDescent="0.2">
      <c r="B245" s="66" t="s">
        <v>792</v>
      </c>
      <c r="C245" s="132">
        <v>108639</v>
      </c>
      <c r="D245" s="64">
        <v>65303</v>
      </c>
      <c r="E245" s="177">
        <v>0</v>
      </c>
      <c r="F245" s="132">
        <v>0</v>
      </c>
      <c r="G245" s="177">
        <v>-79531</v>
      </c>
      <c r="H245" s="64">
        <v>94411</v>
      </c>
      <c r="J245" s="33"/>
    </row>
    <row r="246" spans="2:15" ht="15.75" hidden="1" customHeight="1" x14ac:dyDescent="0.2">
      <c r="B246" s="76" t="s">
        <v>764</v>
      </c>
      <c r="C246" s="64">
        <v>24250</v>
      </c>
      <c r="D246" s="132">
        <v>0</v>
      </c>
      <c r="E246" s="132">
        <v>0</v>
      </c>
      <c r="F246" s="132">
        <v>0</v>
      </c>
      <c r="G246" s="177">
        <v>-5604</v>
      </c>
      <c r="H246" s="64">
        <v>18646</v>
      </c>
      <c r="J246" s="33"/>
      <c r="O246" s="16" t="s">
        <v>781</v>
      </c>
    </row>
    <row r="247" spans="2:15" ht="15.75" hidden="1" customHeight="1" x14ac:dyDescent="0.2">
      <c r="C247" s="16"/>
      <c r="D247" s="16"/>
      <c r="E247" s="74"/>
      <c r="F247" s="74"/>
      <c r="G247" s="74"/>
      <c r="H247" s="15"/>
      <c r="J247" s="33">
        <f>+C247+D247-G247</f>
        <v>0</v>
      </c>
    </row>
    <row r="248" spans="2:15" ht="15.75" hidden="1" customHeight="1" thickBot="1" x14ac:dyDescent="0.25">
      <c r="B248" s="66" t="s">
        <v>1058</v>
      </c>
      <c r="C248" s="182">
        <f t="shared" ref="C248:H248" si="9">SUM(C242:C247)</f>
        <v>3062605</v>
      </c>
      <c r="D248" s="182">
        <f t="shared" si="9"/>
        <v>1523814</v>
      </c>
      <c r="E248" s="183">
        <f t="shared" si="9"/>
        <v>-8850</v>
      </c>
      <c r="F248" s="182">
        <f t="shared" si="9"/>
        <v>0</v>
      </c>
      <c r="G248" s="183">
        <f t="shared" si="9"/>
        <v>-563134</v>
      </c>
      <c r="H248" s="182">
        <f t="shared" si="9"/>
        <v>4014435</v>
      </c>
    </row>
    <row r="249" spans="2:15" ht="15.75" hidden="1" customHeight="1" thickTop="1" x14ac:dyDescent="0.2">
      <c r="B249" s="13"/>
      <c r="C249" s="13"/>
      <c r="D249" s="13"/>
      <c r="E249" s="13"/>
      <c r="F249" s="13"/>
      <c r="H249" s="10"/>
    </row>
    <row r="250" spans="2:15" ht="15.75" hidden="1" customHeight="1" x14ac:dyDescent="0.2">
      <c r="B250" s="13"/>
      <c r="C250" s="13"/>
      <c r="D250" s="13"/>
      <c r="E250" s="13"/>
      <c r="F250" s="13"/>
      <c r="H250" s="10"/>
    </row>
    <row r="251" spans="2:15" ht="15.75" hidden="1" customHeight="1" x14ac:dyDescent="0.2">
      <c r="B251" s="127"/>
      <c r="F251" s="38"/>
      <c r="G251" s="38"/>
      <c r="H251" s="38"/>
      <c r="I251" s="4"/>
    </row>
    <row r="252" spans="2:15" ht="15.75" hidden="1" customHeight="1" x14ac:dyDescent="0.2">
      <c r="F252" s="74"/>
      <c r="G252" s="74"/>
      <c r="H252" s="74"/>
    </row>
    <row r="253" spans="2:15" ht="30.75" hidden="1" customHeight="1" x14ac:dyDescent="0.2">
      <c r="B253" s="127">
        <f>'Comprehensive Income'!C5-1</f>
        <v>2022</v>
      </c>
      <c r="F253" s="126" t="s">
        <v>157</v>
      </c>
      <c r="G253" s="126" t="s">
        <v>158</v>
      </c>
      <c r="H253" s="128" t="s">
        <v>159</v>
      </c>
    </row>
    <row r="254" spans="2:15" ht="15.75" hidden="1" customHeight="1" x14ac:dyDescent="0.2">
      <c r="B254" s="76"/>
      <c r="F254" s="129" t="s">
        <v>605</v>
      </c>
      <c r="G254" s="129" t="s">
        <v>605</v>
      </c>
      <c r="H254" s="129" t="s">
        <v>605</v>
      </c>
    </row>
    <row r="255" spans="2:15" ht="15.75" hidden="1" customHeight="1" x14ac:dyDescent="0.2">
      <c r="B255" s="77" t="s">
        <v>683</v>
      </c>
      <c r="F255" s="132">
        <v>1364314</v>
      </c>
      <c r="G255" s="74">
        <v>-315903</v>
      </c>
      <c r="H255" s="64">
        <v>1048411</v>
      </c>
    </row>
    <row r="256" spans="2:15" ht="15.75" hidden="1" customHeight="1" x14ac:dyDescent="0.2">
      <c r="B256" s="77" t="s">
        <v>762</v>
      </c>
      <c r="C256" s="16"/>
      <c r="D256" s="16"/>
      <c r="E256" s="16"/>
      <c r="F256" s="132">
        <v>3312193</v>
      </c>
      <c r="G256" s="74">
        <v>-1909835</v>
      </c>
      <c r="H256" s="64">
        <v>1402358</v>
      </c>
    </row>
    <row r="257" spans="1:9" ht="15.75" hidden="1" customHeight="1" x14ac:dyDescent="0.2">
      <c r="B257" s="76" t="s">
        <v>632</v>
      </c>
      <c r="C257" s="16"/>
      <c r="D257" s="16"/>
      <c r="E257" s="4"/>
      <c r="F257" s="90">
        <v>1018977</v>
      </c>
      <c r="G257" s="74">
        <v>-540030</v>
      </c>
      <c r="H257" s="64">
        <v>478947</v>
      </c>
    </row>
    <row r="258" spans="1:9" ht="15.75" hidden="1" customHeight="1" x14ac:dyDescent="0.2">
      <c r="B258" s="66" t="s">
        <v>792</v>
      </c>
      <c r="C258" s="16"/>
      <c r="D258" s="16"/>
      <c r="E258" s="4"/>
      <c r="F258" s="90">
        <v>265302</v>
      </c>
      <c r="G258" s="74">
        <v>-156663</v>
      </c>
      <c r="H258" s="64">
        <v>108639</v>
      </c>
    </row>
    <row r="259" spans="1:9" ht="15.75" hidden="1" customHeight="1" x14ac:dyDescent="0.2">
      <c r="B259" s="76" t="s">
        <v>764</v>
      </c>
      <c r="C259" s="184"/>
      <c r="D259" s="184"/>
      <c r="E259" s="184"/>
      <c r="F259" s="132">
        <v>72786</v>
      </c>
      <c r="G259" s="74">
        <v>-48536</v>
      </c>
      <c r="H259" s="64">
        <v>24250</v>
      </c>
    </row>
    <row r="260" spans="1:9" ht="15.75" hidden="1" customHeight="1" x14ac:dyDescent="0.25">
      <c r="B260" s="116"/>
      <c r="C260" s="184"/>
      <c r="D260" s="184"/>
      <c r="E260" s="184"/>
      <c r="F260" s="211"/>
      <c r="G260" s="211"/>
      <c r="H260" s="213"/>
    </row>
    <row r="261" spans="1:9" ht="0.75" hidden="1" customHeight="1" thickBot="1" x14ac:dyDescent="0.25">
      <c r="B261" s="66" t="s">
        <v>1058</v>
      </c>
      <c r="C261" s="5"/>
      <c r="D261" s="5"/>
      <c r="E261" s="5"/>
      <c r="F261" s="214">
        <f>SUM(F255:F260)</f>
        <v>6033572</v>
      </c>
      <c r="G261" s="183">
        <f>SUM(G255:G260)</f>
        <v>-2970967</v>
      </c>
      <c r="H261" s="214">
        <f>SUM(H255:H260)</f>
        <v>3062605</v>
      </c>
    </row>
    <row r="262" spans="1:9" ht="12" customHeight="1" x14ac:dyDescent="0.2">
      <c r="B262" s="76"/>
      <c r="C262" s="5"/>
      <c r="D262" s="5"/>
      <c r="E262" s="5"/>
      <c r="F262" s="12"/>
      <c r="G262" s="63"/>
      <c r="H262" s="63"/>
    </row>
    <row r="263" spans="1:9" ht="15.75" customHeight="1" x14ac:dyDescent="0.25">
      <c r="A263" s="78">
        <f>+A211+1</f>
        <v>16</v>
      </c>
      <c r="B263" s="79" t="s">
        <v>646</v>
      </c>
      <c r="E263" s="4"/>
      <c r="F263" s="17"/>
    </row>
    <row r="264" spans="1:9" ht="15.75" customHeight="1" x14ac:dyDescent="0.2">
      <c r="B264" s="19"/>
      <c r="C264" s="5"/>
      <c r="D264" s="5"/>
      <c r="F264" s="43">
        <f>'Comprehensive Income'!$C$5</f>
        <v>2023</v>
      </c>
      <c r="G264" s="43">
        <f>'Comprehensive Income'!$D$5</f>
        <v>2023</v>
      </c>
      <c r="H264" s="43">
        <f>'Comprehensive Income'!$E$5</f>
        <v>2022</v>
      </c>
    </row>
    <row r="265" spans="1:9" ht="15.75" customHeight="1" x14ac:dyDescent="0.2">
      <c r="B265" s="19"/>
      <c r="C265" s="5"/>
      <c r="D265" s="5"/>
      <c r="F265" s="68" t="s">
        <v>606</v>
      </c>
      <c r="G265" s="68" t="s">
        <v>607</v>
      </c>
      <c r="H265" s="68" t="s">
        <v>606</v>
      </c>
      <c r="I265" s="4"/>
    </row>
    <row r="266" spans="1:9" ht="15.75" customHeight="1" x14ac:dyDescent="0.2">
      <c r="B266" s="19"/>
      <c r="C266" s="5"/>
      <c r="D266" s="5"/>
      <c r="F266" s="68"/>
      <c r="G266" s="73" t="s">
        <v>226</v>
      </c>
      <c r="H266" s="68"/>
      <c r="I266" s="4"/>
    </row>
    <row r="267" spans="1:9" ht="15.75" customHeight="1" x14ac:dyDescent="0.2">
      <c r="B267" s="50"/>
      <c r="C267" s="16"/>
      <c r="D267" s="16"/>
      <c r="F267" s="68" t="s">
        <v>605</v>
      </c>
      <c r="G267" s="68" t="s">
        <v>605</v>
      </c>
      <c r="H267" s="68" t="s">
        <v>605</v>
      </c>
    </row>
    <row r="268" spans="1:9" ht="15.75" customHeight="1" x14ac:dyDescent="0.2">
      <c r="A268" s="76"/>
      <c r="B268" s="66" t="s">
        <v>1624</v>
      </c>
      <c r="F268" s="49">
        <f>+'Codes allocation'!D1161+'Codes allocation'!D1165-F270</f>
        <v>289824</v>
      </c>
      <c r="G268" s="49">
        <f>+'Codes allocation'!F1161+'Codes allocation'!F1165-G270</f>
        <v>195872</v>
      </c>
      <c r="H268" s="49">
        <f>'Codes allocation'!H1161+'Codes allocation'!H1162+'Codes allocation'!H1165-H270+1</f>
        <v>195872</v>
      </c>
      <c r="I268" s="4"/>
    </row>
    <row r="269" spans="1:9" ht="15.75" customHeight="1" x14ac:dyDescent="0.2">
      <c r="A269" s="76"/>
      <c r="B269" s="77" t="s">
        <v>160</v>
      </c>
      <c r="F269" s="49">
        <f>+'Codes allocation'!D1164+130036</f>
        <v>137963</v>
      </c>
      <c r="G269" s="49">
        <f>+'Codes allocation'!F1164</f>
        <v>8580</v>
      </c>
      <c r="H269" s="49">
        <f>'Codes allocation'!H1164</f>
        <v>8580</v>
      </c>
      <c r="I269" s="4"/>
    </row>
    <row r="270" spans="1:9" ht="15.75" hidden="1" customHeight="1" x14ac:dyDescent="0.2">
      <c r="A270" s="76"/>
      <c r="B270" s="77" t="s">
        <v>161</v>
      </c>
      <c r="F270" s="49">
        <v>0</v>
      </c>
      <c r="G270" s="34">
        <v>0</v>
      </c>
      <c r="H270" s="49">
        <v>0</v>
      </c>
      <c r="I270" s="4"/>
    </row>
    <row r="271" spans="1:9" ht="15.75" customHeight="1" x14ac:dyDescent="0.2">
      <c r="A271" s="76"/>
      <c r="B271" s="66" t="s">
        <v>1625</v>
      </c>
      <c r="F271" s="49">
        <f>+'Codes allocation'!D1166+'Codes allocation'!D1162-130036</f>
        <v>1377043</v>
      </c>
      <c r="G271" s="49">
        <f>+'Codes allocation'!F1166</f>
        <v>1080846</v>
      </c>
      <c r="H271" s="49">
        <f>'Codes allocation'!H1166</f>
        <v>1080846</v>
      </c>
    </row>
    <row r="272" spans="1:9" ht="15.75" customHeight="1" x14ac:dyDescent="0.2">
      <c r="A272" s="76"/>
      <c r="B272" s="77" t="s">
        <v>162</v>
      </c>
      <c r="F272" s="49">
        <f>+'Codes allocation'!D1163</f>
        <v>133650</v>
      </c>
      <c r="G272" s="49">
        <f>+'Codes allocation'!F1163</f>
        <v>136396</v>
      </c>
      <c r="H272" s="49">
        <f>'Codes allocation'!H1163</f>
        <v>136396</v>
      </c>
    </row>
    <row r="273" spans="1:12" ht="15.75" customHeight="1" x14ac:dyDescent="0.2">
      <c r="A273" s="76"/>
      <c r="F273" s="49"/>
      <c r="G273" s="49"/>
      <c r="H273" s="49"/>
    </row>
    <row r="274" spans="1:12" ht="15.75" customHeight="1" thickBot="1" x14ac:dyDescent="0.25">
      <c r="F274" s="320">
        <f>SUM(F268:F273)</f>
        <v>1938480</v>
      </c>
      <c r="G274" s="320">
        <f>SUM(G268:G273)</f>
        <v>1421694</v>
      </c>
      <c r="H274" s="320">
        <f>SUM(H268:H273)</f>
        <v>1421694</v>
      </c>
    </row>
    <row r="275" spans="1:12" ht="15.75" customHeight="1" thickTop="1" x14ac:dyDescent="0.2">
      <c r="F275" s="49"/>
      <c r="G275" s="49"/>
      <c r="H275" s="49"/>
      <c r="L275" s="49">
        <v>0</v>
      </c>
    </row>
    <row r="276" spans="1:12" ht="15.75" customHeight="1" x14ac:dyDescent="0.2">
      <c r="F276" s="49"/>
      <c r="G276" s="49"/>
      <c r="H276" s="49"/>
    </row>
    <row r="277" spans="1:12" ht="15.75" customHeight="1" x14ac:dyDescent="0.2">
      <c r="B277" s="77" t="s">
        <v>163</v>
      </c>
      <c r="F277" s="49">
        <f>+F268+F269+F270</f>
        <v>427787</v>
      </c>
      <c r="G277" s="49">
        <f>+G268+G269+G270</f>
        <v>204452</v>
      </c>
      <c r="H277" s="49">
        <f>+H268+H269+H270</f>
        <v>204452</v>
      </c>
    </row>
    <row r="278" spans="1:12" ht="15.75" hidden="1" customHeight="1" x14ac:dyDescent="0.2">
      <c r="B278" s="77" t="s">
        <v>164</v>
      </c>
      <c r="F278" s="49">
        <v>0</v>
      </c>
      <c r="G278" s="49">
        <f>+H278</f>
        <v>0</v>
      </c>
      <c r="H278" s="49">
        <v>0</v>
      </c>
    </row>
    <row r="279" spans="1:12" ht="15.75" customHeight="1" x14ac:dyDescent="0.2">
      <c r="B279" s="77" t="s">
        <v>165</v>
      </c>
      <c r="F279" s="49">
        <f>+F271+F272</f>
        <v>1510693</v>
      </c>
      <c r="G279" s="49">
        <f>+G271+G272</f>
        <v>1217242</v>
      </c>
      <c r="H279" s="49">
        <f>+H271+H272</f>
        <v>1217242</v>
      </c>
    </row>
    <row r="280" spans="1:12" ht="15.75" customHeight="1" x14ac:dyDescent="0.2">
      <c r="F280" s="49"/>
      <c r="G280" s="49"/>
      <c r="H280" s="49"/>
    </row>
    <row r="281" spans="1:12" ht="15.75" customHeight="1" thickBot="1" x14ac:dyDescent="0.25">
      <c r="F281" s="320">
        <f>SUM(F277:F280)</f>
        <v>1938480</v>
      </c>
      <c r="G281" s="320">
        <f>SUM(G277:G280)</f>
        <v>1421694</v>
      </c>
      <c r="H281" s="320">
        <f>SUM(H277:H280)</f>
        <v>1421694</v>
      </c>
    </row>
    <row r="282" spans="1:12" ht="15.75" customHeight="1" thickTop="1" x14ac:dyDescent="0.2">
      <c r="F282" s="49"/>
      <c r="G282" s="49"/>
      <c r="H282" s="49"/>
    </row>
    <row r="283" spans="1:12" ht="15.75" customHeight="1" x14ac:dyDescent="0.2">
      <c r="F283" s="49"/>
      <c r="G283" s="49"/>
      <c r="H283" s="49"/>
    </row>
    <row r="284" spans="1:12" ht="15.75" customHeight="1" x14ac:dyDescent="0.2">
      <c r="B284" s="76" t="s">
        <v>772</v>
      </c>
      <c r="C284" s="5"/>
      <c r="D284" s="5"/>
      <c r="E284" s="5"/>
      <c r="F284" s="17"/>
      <c r="G284" s="17"/>
      <c r="H284" s="17"/>
    </row>
    <row r="285" spans="1:12" ht="15.75" customHeight="1" x14ac:dyDescent="0.2">
      <c r="B285" s="185"/>
      <c r="F285" s="17"/>
      <c r="G285" s="17"/>
      <c r="H285" s="17"/>
    </row>
    <row r="286" spans="1:12" ht="15.75" customHeight="1" x14ac:dyDescent="0.2">
      <c r="E286" s="4"/>
      <c r="F286" s="17"/>
      <c r="G286" s="17"/>
    </row>
    <row r="287" spans="1:12" ht="15.75" customHeight="1" x14ac:dyDescent="0.25">
      <c r="A287" s="78">
        <f>A263+1</f>
        <v>17</v>
      </c>
      <c r="B287" s="79" t="s">
        <v>231</v>
      </c>
      <c r="E287" s="4"/>
      <c r="F287" s="17"/>
      <c r="G287" s="17"/>
    </row>
    <row r="288" spans="1:12" ht="15.75" customHeight="1" x14ac:dyDescent="0.2">
      <c r="B288" s="19"/>
      <c r="C288" s="5"/>
      <c r="D288" s="5"/>
      <c r="F288" s="43">
        <f>'Comprehensive Income'!$C$5</f>
        <v>2023</v>
      </c>
      <c r="G288" s="43">
        <f>'Comprehensive Income'!$D$5</f>
        <v>2023</v>
      </c>
      <c r="H288" s="43">
        <f>'Comprehensive Income'!$E$5</f>
        <v>2022</v>
      </c>
    </row>
    <row r="289" spans="1:15" ht="15.75" customHeight="1" x14ac:dyDescent="0.2">
      <c r="B289" s="19"/>
      <c r="C289" s="5"/>
      <c r="D289" s="5"/>
      <c r="F289" s="68" t="s">
        <v>606</v>
      </c>
      <c r="G289" s="68" t="s">
        <v>607</v>
      </c>
      <c r="H289" s="68" t="s">
        <v>606</v>
      </c>
      <c r="I289" s="4"/>
    </row>
    <row r="290" spans="1:15" ht="15.75" customHeight="1" x14ac:dyDescent="0.2">
      <c r="B290" s="19"/>
      <c r="C290" s="5"/>
      <c r="D290" s="5"/>
      <c r="F290" s="68"/>
      <c r="G290" s="73" t="s">
        <v>226</v>
      </c>
      <c r="H290" s="68"/>
      <c r="I290" s="4"/>
    </row>
    <row r="291" spans="1:15" ht="15.75" customHeight="1" x14ac:dyDescent="0.2">
      <c r="B291" s="19"/>
      <c r="C291" s="5"/>
      <c r="D291" s="5"/>
      <c r="F291" s="68" t="s">
        <v>605</v>
      </c>
      <c r="G291" s="68" t="s">
        <v>605</v>
      </c>
      <c r="H291" s="68" t="s">
        <v>605</v>
      </c>
      <c r="I291" s="4"/>
      <c r="J291" s="20"/>
    </row>
    <row r="292" spans="1:15" ht="15.75" customHeight="1" x14ac:dyDescent="0.2">
      <c r="B292" s="76" t="s">
        <v>1626</v>
      </c>
      <c r="C292" s="5"/>
      <c r="F292" s="49">
        <f>'Codes allocation'!D1189</f>
        <v>104234</v>
      </c>
      <c r="G292" s="49">
        <f>'Codes allocation'!F1189</f>
        <v>68497</v>
      </c>
      <c r="H292" s="49">
        <f>'Codes allocation'!H1189</f>
        <v>68496</v>
      </c>
      <c r="J292" s="24"/>
      <c r="K292" s="5"/>
    </row>
    <row r="293" spans="1:15" ht="15.75" customHeight="1" thickBot="1" x14ac:dyDescent="0.25">
      <c r="F293" s="320">
        <f>SUM(F292:F292)</f>
        <v>104234</v>
      </c>
      <c r="G293" s="320">
        <f>SUM(G292:G292)</f>
        <v>68497</v>
      </c>
      <c r="H293" s="320">
        <f>SUM(H292:H292)</f>
        <v>68496</v>
      </c>
      <c r="J293" s="4"/>
      <c r="K293" s="5"/>
    </row>
    <row r="294" spans="1:15" ht="15.75" customHeight="1" thickTop="1" x14ac:dyDescent="0.2">
      <c r="F294" s="49"/>
      <c r="G294" s="49"/>
      <c r="H294" s="49"/>
    </row>
    <row r="295" spans="1:15" ht="15.75" customHeight="1" x14ac:dyDescent="0.25">
      <c r="A295" s="78">
        <f>+A287+1</f>
        <v>18</v>
      </c>
      <c r="B295" s="79" t="s">
        <v>1518</v>
      </c>
      <c r="F295" s="43">
        <f>'Comprehensive Income'!$C$5</f>
        <v>2023</v>
      </c>
      <c r="G295" s="43">
        <f>'Comprehensive Income'!$D$5</f>
        <v>2023</v>
      </c>
      <c r="H295" s="43">
        <f>'Comprehensive Income'!$E$5</f>
        <v>2022</v>
      </c>
    </row>
    <row r="296" spans="1:15" ht="15.75" customHeight="1" x14ac:dyDescent="0.2">
      <c r="F296" s="68" t="s">
        <v>606</v>
      </c>
      <c r="G296" s="68" t="s">
        <v>607</v>
      </c>
      <c r="H296" s="68" t="s">
        <v>606</v>
      </c>
    </row>
    <row r="297" spans="1:15" ht="15.75" customHeight="1" x14ac:dyDescent="0.2">
      <c r="F297" s="68"/>
      <c r="G297" s="73" t="s">
        <v>226</v>
      </c>
      <c r="H297" s="68"/>
      <c r="O297" s="16" t="s">
        <v>781</v>
      </c>
    </row>
    <row r="298" spans="1:15" ht="15.75" customHeight="1" x14ac:dyDescent="0.2">
      <c r="F298" s="68" t="s">
        <v>605</v>
      </c>
      <c r="G298" s="68" t="s">
        <v>605</v>
      </c>
      <c r="H298" s="68" t="s">
        <v>605</v>
      </c>
    </row>
    <row r="299" spans="1:15" ht="15.75" customHeight="1" x14ac:dyDescent="0.2">
      <c r="B299" s="66" t="s">
        <v>1638</v>
      </c>
      <c r="F299" s="49">
        <f>+H303</f>
        <v>116822</v>
      </c>
      <c r="G299" s="49">
        <f>G303+G301+G302-G300</f>
        <v>14772</v>
      </c>
      <c r="H299" s="49">
        <v>200595</v>
      </c>
    </row>
    <row r="300" spans="1:15" ht="15.75" customHeight="1" x14ac:dyDescent="0.2">
      <c r="B300" s="77" t="s">
        <v>1639</v>
      </c>
      <c r="F300" s="49">
        <f>'Codes allocation'!D1001</f>
        <v>32471</v>
      </c>
      <c r="G300" s="49">
        <f>'Codes allocation'!F1001</f>
        <v>23229</v>
      </c>
      <c r="H300" s="49">
        <f>'Codes allocation'!H1001</f>
        <v>28503</v>
      </c>
    </row>
    <row r="301" spans="1:15" ht="15.75" customHeight="1" x14ac:dyDescent="0.2">
      <c r="B301" s="77" t="s">
        <v>1640</v>
      </c>
      <c r="F301" s="49">
        <v>-81500</v>
      </c>
      <c r="G301" s="49">
        <v>0</v>
      </c>
      <c r="H301" s="49">
        <v>-139150</v>
      </c>
      <c r="O301" s="16" t="s">
        <v>781</v>
      </c>
    </row>
    <row r="302" spans="1:15" ht="15.75" customHeight="1" x14ac:dyDescent="0.2">
      <c r="B302" s="66" t="s">
        <v>1641</v>
      </c>
      <c r="F302" s="49">
        <f>'Codes allocation'!D1004</f>
        <v>70071</v>
      </c>
      <c r="G302" s="49">
        <v>0</v>
      </c>
      <c r="H302" s="49">
        <f>'Codes allocation'!H1004</f>
        <v>26874</v>
      </c>
    </row>
    <row r="303" spans="1:15" ht="15.75" customHeight="1" thickBot="1" x14ac:dyDescent="0.25">
      <c r="B303" s="66" t="s">
        <v>1637</v>
      </c>
      <c r="F303" s="320">
        <f>+F299+F300+F301+F302</f>
        <v>137864</v>
      </c>
      <c r="G303" s="320">
        <f>'Financial Position'!D23+'Financial Position'!D38</f>
        <v>38001</v>
      </c>
      <c r="H303" s="320">
        <f>+H299+H300+H301+H302</f>
        <v>116822</v>
      </c>
    </row>
    <row r="304" spans="1:15" ht="15.75" customHeight="1" thickTop="1" x14ac:dyDescent="0.2">
      <c r="F304" s="49"/>
      <c r="G304" s="49"/>
      <c r="H304" s="49"/>
    </row>
    <row r="305" spans="1:8" ht="15.75" customHeight="1" x14ac:dyDescent="0.2">
      <c r="F305" s="49"/>
      <c r="G305" s="49"/>
      <c r="H305" s="49"/>
    </row>
    <row r="306" spans="1:8" ht="15.75" customHeight="1" x14ac:dyDescent="0.2">
      <c r="B306" s="77" t="s">
        <v>166</v>
      </c>
      <c r="F306" s="49">
        <f>'Codes allocation'!D1193</f>
        <v>94308</v>
      </c>
      <c r="G306" s="193">
        <f>'Codes allocation'!F1193</f>
        <v>38001</v>
      </c>
      <c r="H306" s="49">
        <f>'Codes allocation'!H1193</f>
        <v>94632</v>
      </c>
    </row>
    <row r="307" spans="1:8" ht="15.75" customHeight="1" x14ac:dyDescent="0.2">
      <c r="B307" s="66" t="s">
        <v>1745</v>
      </c>
      <c r="F307" s="49">
        <f>+'Codes allocation'!D1194</f>
        <v>43556</v>
      </c>
      <c r="G307" s="49">
        <f>'Codes allocation'!F1194</f>
        <v>0</v>
      </c>
      <c r="H307" s="49">
        <f>'Codes allocation'!H1194</f>
        <v>22190</v>
      </c>
    </row>
    <row r="308" spans="1:8" ht="15.75" customHeight="1" thickBot="1" x14ac:dyDescent="0.25">
      <c r="F308" s="320">
        <f>+F306+F307</f>
        <v>137864</v>
      </c>
      <c r="G308" s="320">
        <f>SUM(G306:G307)</f>
        <v>38001</v>
      </c>
      <c r="H308" s="320">
        <f>SUM(H306:H307)</f>
        <v>116822</v>
      </c>
    </row>
    <row r="309" spans="1:8" ht="15.75" customHeight="1" thickTop="1" x14ac:dyDescent="0.2">
      <c r="F309" s="49"/>
      <c r="G309" s="49"/>
      <c r="H309" s="49"/>
    </row>
    <row r="310" spans="1:8" ht="34.5" customHeight="1" x14ac:dyDescent="0.2">
      <c r="B310" s="514" t="s">
        <v>1642</v>
      </c>
      <c r="C310" s="520"/>
      <c r="D310" s="520"/>
      <c r="E310" s="520"/>
      <c r="F310" s="520"/>
      <c r="G310" s="520"/>
      <c r="H310" s="520"/>
    </row>
    <row r="311" spans="1:8" ht="15.75" customHeight="1" x14ac:dyDescent="0.2">
      <c r="F311" s="49"/>
      <c r="G311" s="49"/>
      <c r="H311" s="49"/>
    </row>
    <row r="312" spans="1:8" ht="15.75" customHeight="1" x14ac:dyDescent="0.25">
      <c r="A312" s="78">
        <f>+A295+1</f>
        <v>19</v>
      </c>
      <c r="B312" s="79" t="s">
        <v>924</v>
      </c>
      <c r="F312" s="43"/>
      <c r="G312" s="43"/>
      <c r="H312" s="43"/>
    </row>
    <row r="313" spans="1:8" ht="15.75" customHeight="1" x14ac:dyDescent="0.2">
      <c r="A313" s="78"/>
      <c r="B313" s="22" t="s">
        <v>921</v>
      </c>
      <c r="C313" s="22"/>
      <c r="D313" s="22"/>
      <c r="E313" s="22"/>
      <c r="F313" s="22"/>
      <c r="G313" s="22"/>
      <c r="H313" s="22"/>
    </row>
    <row r="314" spans="1:8" ht="15.75" customHeight="1" x14ac:dyDescent="0.2">
      <c r="A314" s="78"/>
      <c r="B314" s="22"/>
      <c r="C314" s="22"/>
      <c r="D314" s="22"/>
      <c r="E314" s="22"/>
      <c r="F314" s="22"/>
      <c r="G314" s="22"/>
      <c r="H314" s="22"/>
    </row>
    <row r="315" spans="1:8" ht="15.75" customHeight="1" x14ac:dyDescent="0.2">
      <c r="A315" s="78"/>
      <c r="B315" s="117"/>
      <c r="C315" s="117"/>
      <c r="D315" s="117"/>
      <c r="E315" s="117"/>
      <c r="F315" s="117"/>
      <c r="G315" s="117"/>
      <c r="H315" s="117"/>
    </row>
    <row r="316" spans="1:8" ht="15.75" customHeight="1" x14ac:dyDescent="0.2">
      <c r="A316" s="78"/>
      <c r="B316" s="117"/>
      <c r="C316" s="117"/>
      <c r="D316" s="117"/>
      <c r="E316" s="117"/>
      <c r="F316" s="43">
        <f>'Comprehensive Income'!$C$5</f>
        <v>2023</v>
      </c>
      <c r="G316" s="43">
        <f>'Comprehensive Income'!$D$5</f>
        <v>2023</v>
      </c>
      <c r="H316" s="43">
        <f>'Comprehensive Income'!$E$5</f>
        <v>2022</v>
      </c>
    </row>
    <row r="317" spans="1:8" ht="15.75" customHeight="1" x14ac:dyDescent="0.2">
      <c r="F317" s="68" t="s">
        <v>606</v>
      </c>
      <c r="G317" s="68" t="s">
        <v>607</v>
      </c>
      <c r="H317" s="68" t="s">
        <v>606</v>
      </c>
    </row>
    <row r="318" spans="1:8" ht="15.75" customHeight="1" x14ac:dyDescent="0.2">
      <c r="F318" s="68"/>
      <c r="G318" s="73" t="s">
        <v>226</v>
      </c>
      <c r="H318" s="68"/>
    </row>
    <row r="319" spans="1:8" ht="15.75" customHeight="1" x14ac:dyDescent="0.2">
      <c r="F319" s="68" t="s">
        <v>605</v>
      </c>
      <c r="G319" s="68" t="s">
        <v>605</v>
      </c>
      <c r="H319" s="68" t="s">
        <v>605</v>
      </c>
    </row>
    <row r="320" spans="1:8" ht="15.75" customHeight="1" x14ac:dyDescent="0.2">
      <c r="B320" s="16" t="s">
        <v>922</v>
      </c>
      <c r="C320" s="16"/>
      <c r="D320" s="35"/>
      <c r="E320" s="35"/>
      <c r="F320" s="186">
        <f>'Codes allocation'!D1273</f>
        <v>87343</v>
      </c>
      <c r="G320" s="186">
        <f>'Codes allocation'!E1273</f>
        <v>77572</v>
      </c>
      <c r="H320" s="186">
        <f>'Codes allocation'!H1273</f>
        <v>89194</v>
      </c>
    </row>
    <row r="321" spans="1:15" ht="15.75" customHeight="1" x14ac:dyDescent="0.2">
      <c r="B321" s="16" t="s">
        <v>923</v>
      </c>
      <c r="C321" s="16"/>
      <c r="D321" s="35"/>
      <c r="E321" s="35"/>
      <c r="F321" s="186">
        <f>'Codes allocation'!D1284</f>
        <v>71127</v>
      </c>
      <c r="G321" s="186">
        <f>'Codes allocation'!E1284</f>
        <v>85839</v>
      </c>
      <c r="H321" s="186">
        <f>'Codes allocation'!H1284</f>
        <v>94352</v>
      </c>
    </row>
    <row r="322" spans="1:15" ht="15.75" customHeight="1" x14ac:dyDescent="0.2">
      <c r="B322" s="16" t="s">
        <v>1627</v>
      </c>
      <c r="C322" s="16"/>
      <c r="D322" s="35"/>
      <c r="E322" s="35"/>
      <c r="F322" s="186">
        <f>-('Codes allocation'!D1287+'Codes allocation'!D1277)</f>
        <v>-15392</v>
      </c>
      <c r="G322" s="186">
        <f>-('Codes allocation'!E1287+'Codes allocation'!E1277)</f>
        <v>0</v>
      </c>
      <c r="H322" s="186">
        <f>-('Codes allocation'!H1287+'Codes allocation'!H1277)</f>
        <v>-20135</v>
      </c>
    </row>
    <row r="323" spans="1:15" ht="15.75" customHeight="1" x14ac:dyDescent="0.2">
      <c r="B323" s="16"/>
      <c r="C323" s="16"/>
      <c r="D323" s="35"/>
      <c r="E323" s="35"/>
      <c r="F323" s="186"/>
      <c r="G323" s="186"/>
      <c r="H323" s="186"/>
    </row>
    <row r="324" spans="1:15" ht="15.75" customHeight="1" thickBot="1" x14ac:dyDescent="0.25">
      <c r="B324" s="16"/>
      <c r="C324" s="16"/>
      <c r="D324" s="35"/>
      <c r="E324" s="35"/>
      <c r="F324" s="319">
        <f>SUM(F320:F323)</f>
        <v>143078</v>
      </c>
      <c r="G324" s="319">
        <f t="shared" ref="G324:H324" si="10">SUM(G320:G323)</f>
        <v>163411</v>
      </c>
      <c r="H324" s="319">
        <f t="shared" si="10"/>
        <v>163411</v>
      </c>
    </row>
    <row r="325" spans="1:15" ht="15.75" customHeight="1" thickTop="1" x14ac:dyDescent="0.2">
      <c r="B325" s="1" t="s">
        <v>1628</v>
      </c>
      <c r="C325" s="16"/>
      <c r="D325" s="35"/>
      <c r="E325" s="35"/>
      <c r="F325" s="186"/>
      <c r="G325" s="186"/>
      <c r="H325" s="186"/>
    </row>
    <row r="326" spans="1:15" ht="15.75" customHeight="1" x14ac:dyDescent="0.2">
      <c r="B326" s="16" t="s">
        <v>1629</v>
      </c>
      <c r="C326" s="16"/>
      <c r="D326" s="35"/>
      <c r="E326" s="35"/>
      <c r="F326" s="186">
        <f>F320-'Codes allocation'!D1277</f>
        <v>77370</v>
      </c>
      <c r="G326" s="186">
        <f>G320-'Codes allocation'!E1277</f>
        <v>77572</v>
      </c>
      <c r="H326" s="186">
        <f>H320-'Codes allocation'!H1277</f>
        <v>77572</v>
      </c>
    </row>
    <row r="327" spans="1:15" ht="15.75" customHeight="1" x14ac:dyDescent="0.2">
      <c r="B327" s="16" t="s">
        <v>1630</v>
      </c>
      <c r="C327" s="16"/>
      <c r="D327" s="35"/>
      <c r="E327" s="35"/>
      <c r="F327" s="186">
        <f>F321-'Codes allocation'!D1287</f>
        <v>65708</v>
      </c>
      <c r="G327" s="186">
        <f>G321-'Codes allocation'!E1287</f>
        <v>85839</v>
      </c>
      <c r="H327" s="186">
        <f>H321-'Codes allocation'!H1287</f>
        <v>85839</v>
      </c>
    </row>
    <row r="328" spans="1:15" ht="15.75" customHeight="1" thickBot="1" x14ac:dyDescent="0.25">
      <c r="B328" s="16"/>
      <c r="C328" s="16"/>
      <c r="D328" s="35"/>
      <c r="E328" s="35"/>
      <c r="F328" s="319">
        <f>SUM(F326:F327)</f>
        <v>143078</v>
      </c>
      <c r="G328" s="319">
        <f t="shared" ref="G328:H328" si="11">SUM(G326:G327)</f>
        <v>163411</v>
      </c>
      <c r="H328" s="319">
        <f t="shared" si="11"/>
        <v>163411</v>
      </c>
    </row>
    <row r="329" spans="1:15" ht="15.75" customHeight="1" thickTop="1" x14ac:dyDescent="0.2">
      <c r="F329" s="49"/>
      <c r="G329" s="49"/>
      <c r="H329" s="49"/>
    </row>
    <row r="330" spans="1:15" ht="15.75" customHeight="1" x14ac:dyDescent="0.25">
      <c r="A330" s="78">
        <f>+A312+1</f>
        <v>20</v>
      </c>
      <c r="B330" s="79" t="s">
        <v>934</v>
      </c>
      <c r="F330" s="49"/>
      <c r="G330" s="49"/>
      <c r="H330" s="49"/>
    </row>
    <row r="331" spans="1:15" ht="15.75" customHeight="1" x14ac:dyDescent="0.25">
      <c r="A331" s="78"/>
      <c r="B331" s="79"/>
      <c r="F331" s="49"/>
      <c r="G331" s="49"/>
      <c r="H331" s="49"/>
    </row>
    <row r="332" spans="1:15" ht="27" customHeight="1" x14ac:dyDescent="0.2">
      <c r="B332" s="522" t="s">
        <v>1631</v>
      </c>
      <c r="C332" s="522"/>
      <c r="D332" s="522"/>
      <c r="E332" s="522"/>
      <c r="F332" s="522"/>
      <c r="G332" s="522"/>
      <c r="H332" s="522"/>
    </row>
    <row r="333" spans="1:15" ht="15.75" customHeight="1" x14ac:dyDescent="0.2">
      <c r="B333" s="189"/>
      <c r="C333" s="36"/>
      <c r="D333" s="190"/>
      <c r="E333" s="190"/>
      <c r="F333" s="190"/>
      <c r="G333" s="526" t="s">
        <v>1504</v>
      </c>
      <c r="H333" s="190"/>
    </row>
    <row r="334" spans="1:15" ht="15.75" customHeight="1" x14ac:dyDescent="0.2">
      <c r="B334" s="189"/>
      <c r="C334" s="36"/>
      <c r="D334" s="190" t="s">
        <v>925</v>
      </c>
      <c r="E334" s="190" t="s">
        <v>926</v>
      </c>
      <c r="F334" s="190"/>
      <c r="G334" s="526"/>
      <c r="H334" s="190" t="s">
        <v>927</v>
      </c>
    </row>
    <row r="335" spans="1:15" ht="15.75" customHeight="1" x14ac:dyDescent="0.2">
      <c r="B335" s="189">
        <v>2023</v>
      </c>
      <c r="C335" s="288" t="s">
        <v>1539</v>
      </c>
      <c r="D335" s="190" t="s">
        <v>928</v>
      </c>
      <c r="E335" s="287" t="s">
        <v>929</v>
      </c>
      <c r="F335" s="190" t="s">
        <v>930</v>
      </c>
      <c r="G335" s="526"/>
      <c r="H335" s="190" t="s">
        <v>928</v>
      </c>
    </row>
    <row r="336" spans="1:15" ht="15.75" customHeight="1" x14ac:dyDescent="0.2">
      <c r="B336" s="189"/>
      <c r="D336" s="287" t="s">
        <v>605</v>
      </c>
      <c r="E336" s="287" t="s">
        <v>605</v>
      </c>
      <c r="F336" s="287" t="s">
        <v>605</v>
      </c>
      <c r="G336" s="287"/>
      <c r="H336" s="287" t="s">
        <v>605</v>
      </c>
      <c r="O336" t="s">
        <v>781</v>
      </c>
    </row>
    <row r="337" spans="2:8" ht="15.75" customHeight="1" x14ac:dyDescent="0.2">
      <c r="B337" s="187" t="s">
        <v>1494</v>
      </c>
      <c r="C337" s="318">
        <v>229492</v>
      </c>
      <c r="D337" s="192">
        <v>-18000</v>
      </c>
      <c r="E337" s="193">
        <v>0</v>
      </c>
      <c r="F337" s="193">
        <v>-3334</v>
      </c>
      <c r="G337" s="193">
        <v>0</v>
      </c>
      <c r="H337" s="194">
        <v>-21334</v>
      </c>
    </row>
    <row r="338" spans="2:8" ht="15.75" customHeight="1" x14ac:dyDescent="0.2">
      <c r="B338" s="187" t="s">
        <v>1574</v>
      </c>
      <c r="C338" s="318"/>
      <c r="D338" s="192">
        <v>-11946</v>
      </c>
      <c r="E338" s="193">
        <v>0</v>
      </c>
      <c r="F338" s="193">
        <v>0</v>
      </c>
      <c r="G338" s="193">
        <v>0</v>
      </c>
      <c r="H338" s="194">
        <v>-11946</v>
      </c>
    </row>
    <row r="339" spans="2:8" ht="15.75" customHeight="1" x14ac:dyDescent="0.2">
      <c r="B339" s="187" t="s">
        <v>1649</v>
      </c>
      <c r="C339" s="318"/>
      <c r="D339" s="192">
        <v>61596</v>
      </c>
      <c r="E339" s="193">
        <v>0</v>
      </c>
      <c r="F339" s="193">
        <v>-132606</v>
      </c>
      <c r="G339" s="193">
        <v>71010</v>
      </c>
      <c r="H339" s="194">
        <v>0</v>
      </c>
    </row>
    <row r="340" spans="2:8" ht="15.75" customHeight="1" x14ac:dyDescent="0.2">
      <c r="B340" s="187"/>
      <c r="C340" s="191"/>
      <c r="D340" s="192"/>
      <c r="E340" s="193"/>
      <c r="F340" s="193"/>
      <c r="G340" s="193"/>
      <c r="H340" s="194"/>
    </row>
    <row r="341" spans="2:8" ht="15.75" customHeight="1" thickBot="1" x14ac:dyDescent="0.25">
      <c r="B341" s="187" t="s">
        <v>931</v>
      </c>
      <c r="C341" s="194"/>
      <c r="D341" s="195">
        <f>SUM(D337:D340)</f>
        <v>31650</v>
      </c>
      <c r="E341" s="195">
        <f>SUM(E337:E340)</f>
        <v>0</v>
      </c>
      <c r="F341" s="195">
        <f>SUM(F337:F340)</f>
        <v>-135940</v>
      </c>
      <c r="G341" s="195">
        <f>SUM(G337:G340)</f>
        <v>71010</v>
      </c>
      <c r="H341" s="195">
        <f>SUM(H337:H340)</f>
        <v>-33280</v>
      </c>
    </row>
    <row r="342" spans="2:8" ht="15.75" customHeight="1" thickTop="1" x14ac:dyDescent="0.2">
      <c r="B342" s="189"/>
      <c r="C342" s="36"/>
      <c r="D342" s="24"/>
      <c r="E342" s="24"/>
      <c r="F342" s="190"/>
      <c r="G342" s="523" t="s">
        <v>1504</v>
      </c>
      <c r="H342" s="16"/>
    </row>
    <row r="343" spans="2:8" ht="15.75" customHeight="1" x14ac:dyDescent="0.2">
      <c r="B343" s="189" t="s">
        <v>932</v>
      </c>
      <c r="C343" s="16"/>
      <c r="D343" s="188"/>
      <c r="E343" s="196"/>
      <c r="F343" s="196"/>
      <c r="G343" s="523"/>
      <c r="H343" s="193"/>
    </row>
    <row r="344" spans="2:8" ht="15.75" customHeight="1" x14ac:dyDescent="0.2">
      <c r="B344" s="187" t="s">
        <v>933</v>
      </c>
      <c r="C344" s="16"/>
      <c r="D344" s="188"/>
      <c r="E344" s="196"/>
      <c r="F344" s="196"/>
      <c r="G344" s="523"/>
      <c r="H344" s="193">
        <f>SUMIF($H$336:$H$340,"&gt;0",$H$336:$H$340)</f>
        <v>0</v>
      </c>
    </row>
    <row r="345" spans="2:8" ht="15.75" customHeight="1" x14ac:dyDescent="0.2">
      <c r="B345" s="187" t="s">
        <v>1751</v>
      </c>
      <c r="C345" s="16"/>
      <c r="D345" s="188"/>
      <c r="E345" s="196"/>
      <c r="F345" s="196"/>
      <c r="G345" s="523"/>
      <c r="H345" s="186">
        <f>SUMIF($H$336:$H$340,"&lt;0",$H$336:$H$340)</f>
        <v>-33280</v>
      </c>
    </row>
    <row r="346" spans="2:8" ht="15.75" customHeight="1" x14ac:dyDescent="0.2">
      <c r="B346" s="187"/>
      <c r="C346" s="16"/>
      <c r="D346" s="188"/>
      <c r="E346" s="196"/>
      <c r="F346" s="196"/>
      <c r="G346" s="523"/>
      <c r="H346" s="194"/>
    </row>
    <row r="347" spans="2:8" ht="15.75" customHeight="1" thickBot="1" x14ac:dyDescent="0.25">
      <c r="B347" s="187"/>
      <c r="C347" s="16"/>
      <c r="D347" s="188"/>
      <c r="E347" s="196"/>
      <c r="F347" s="196"/>
      <c r="G347" s="523"/>
      <c r="H347" s="195">
        <f>SUM(H344:H346)</f>
        <v>-33280</v>
      </c>
    </row>
    <row r="348" spans="2:8" ht="15.75" customHeight="1" thickTop="1" x14ac:dyDescent="0.2">
      <c r="B348" s="189"/>
      <c r="C348" s="36"/>
      <c r="D348" s="190"/>
      <c r="E348" s="190"/>
      <c r="F348" s="190"/>
      <c r="G348" s="523"/>
      <c r="H348" s="190"/>
    </row>
    <row r="349" spans="2:8" ht="15.75" customHeight="1" x14ac:dyDescent="0.2">
      <c r="B349" s="189"/>
      <c r="C349" s="36"/>
      <c r="D349" s="190" t="s">
        <v>925</v>
      </c>
      <c r="E349" s="190" t="s">
        <v>926</v>
      </c>
      <c r="F349" s="190"/>
      <c r="G349" s="523"/>
      <c r="H349" s="190" t="s">
        <v>927</v>
      </c>
    </row>
    <row r="350" spans="2:8" ht="15.75" customHeight="1" x14ac:dyDescent="0.2">
      <c r="B350" s="189">
        <v>2022</v>
      </c>
      <c r="C350" s="288" t="s">
        <v>1539</v>
      </c>
      <c r="D350" s="190" t="s">
        <v>928</v>
      </c>
      <c r="E350" s="287" t="s">
        <v>929</v>
      </c>
      <c r="F350" s="190" t="s">
        <v>930</v>
      </c>
      <c r="G350" s="523"/>
      <c r="H350" s="190" t="s">
        <v>928</v>
      </c>
    </row>
    <row r="351" spans="2:8" ht="15.75" customHeight="1" x14ac:dyDescent="0.2">
      <c r="B351" s="189"/>
      <c r="C351" s="376"/>
      <c r="D351" s="287" t="s">
        <v>605</v>
      </c>
      <c r="E351" s="287" t="s">
        <v>605</v>
      </c>
      <c r="F351" s="287" t="s">
        <v>605</v>
      </c>
      <c r="G351" s="287"/>
      <c r="H351" s="287" t="s">
        <v>605</v>
      </c>
    </row>
    <row r="352" spans="2:8" ht="15.75" customHeight="1" x14ac:dyDescent="0.2">
      <c r="B352" s="187" t="s">
        <v>1494</v>
      </c>
      <c r="C352" s="318">
        <v>229492</v>
      </c>
      <c r="D352" s="192">
        <v>-9275</v>
      </c>
      <c r="E352" s="193">
        <v>162000</v>
      </c>
      <c r="F352" s="193">
        <v>-389164</v>
      </c>
      <c r="G352" s="193">
        <v>218439</v>
      </c>
      <c r="H352" s="194">
        <v>-18000</v>
      </c>
    </row>
    <row r="353" spans="1:10" ht="15.75" customHeight="1" x14ac:dyDescent="0.2">
      <c r="B353" s="187" t="s">
        <v>1574</v>
      </c>
      <c r="C353" s="318"/>
      <c r="D353" s="192">
        <v>0</v>
      </c>
      <c r="E353" s="193">
        <v>0</v>
      </c>
      <c r="F353" s="193">
        <v>-11946</v>
      </c>
      <c r="G353" s="193">
        <v>0</v>
      </c>
      <c r="H353" s="194">
        <v>-11946</v>
      </c>
    </row>
    <row r="354" spans="1:10" ht="15.75" customHeight="1" x14ac:dyDescent="0.2">
      <c r="B354" s="187" t="s">
        <v>1649</v>
      </c>
      <c r="C354" s="318"/>
      <c r="D354" s="192">
        <v>0</v>
      </c>
      <c r="E354" s="193">
        <v>150000</v>
      </c>
      <c r="F354" s="193">
        <v>-88404</v>
      </c>
      <c r="G354" s="193">
        <v>0</v>
      </c>
      <c r="H354" s="194">
        <v>61596</v>
      </c>
    </row>
    <row r="355" spans="1:10" ht="15.75" customHeight="1" x14ac:dyDescent="0.2">
      <c r="B355" s="187"/>
      <c r="C355" s="191"/>
      <c r="D355" s="192"/>
      <c r="E355" s="193"/>
      <c r="F355" s="193"/>
      <c r="G355" s="193"/>
      <c r="H355" s="194"/>
    </row>
    <row r="356" spans="1:10" ht="15.75" customHeight="1" thickBot="1" x14ac:dyDescent="0.25">
      <c r="B356" s="187" t="s">
        <v>931</v>
      </c>
      <c r="C356" s="194"/>
      <c r="D356" s="195">
        <f>SUM(D352:D355)</f>
        <v>-9275</v>
      </c>
      <c r="E356" s="195">
        <f>SUM(E352:E355)</f>
        <v>312000</v>
      </c>
      <c r="F356" s="195">
        <f>SUM(F352:F355)</f>
        <v>-489514</v>
      </c>
      <c r="G356" s="195">
        <f>SUM(G352:G355)</f>
        <v>218439</v>
      </c>
      <c r="H356" s="195">
        <f>SUM(H352:H355)</f>
        <v>31650</v>
      </c>
    </row>
    <row r="357" spans="1:10" ht="15.75" customHeight="1" thickTop="1" x14ac:dyDescent="0.2">
      <c r="B357" s="187"/>
      <c r="C357" s="16"/>
      <c r="D357" s="188"/>
      <c r="E357" s="196"/>
      <c r="F357" s="196"/>
      <c r="G357" s="196"/>
      <c r="H357" s="192"/>
    </row>
    <row r="358" spans="1:10" ht="15.75" customHeight="1" x14ac:dyDescent="0.2">
      <c r="B358" s="189" t="s">
        <v>932</v>
      </c>
      <c r="C358" s="16"/>
      <c r="D358" s="188"/>
      <c r="E358" s="196"/>
      <c r="F358" s="196"/>
      <c r="G358" s="196"/>
      <c r="H358" s="193"/>
    </row>
    <row r="359" spans="1:10" ht="15.75" customHeight="1" x14ac:dyDescent="0.2">
      <c r="B359" s="187" t="s">
        <v>933</v>
      </c>
      <c r="C359" s="16"/>
      <c r="D359" s="188"/>
      <c r="E359" s="196"/>
      <c r="F359" s="196"/>
      <c r="G359" s="196"/>
      <c r="H359" s="193">
        <f>SUMIF($H$351:$H$355,"&gt;0",$H$351:$H$355)</f>
        <v>61596</v>
      </c>
    </row>
    <row r="360" spans="1:10" ht="15.75" customHeight="1" x14ac:dyDescent="0.2">
      <c r="B360" s="187" t="s">
        <v>1751</v>
      </c>
      <c r="C360" s="16"/>
      <c r="D360" s="188"/>
      <c r="E360" s="196"/>
      <c r="F360" s="196"/>
      <c r="G360" s="196"/>
      <c r="H360" s="186">
        <f>SUMIF($H$351:$H$355,"&lt;0",$H$351:$H$355)</f>
        <v>-29946</v>
      </c>
    </row>
    <row r="361" spans="1:10" ht="15.75" customHeight="1" x14ac:dyDescent="0.2">
      <c r="B361" s="187"/>
      <c r="C361" s="16"/>
      <c r="D361" s="188"/>
      <c r="E361" s="196"/>
      <c r="F361" s="196"/>
      <c r="G361" s="196"/>
      <c r="H361" s="194"/>
    </row>
    <row r="362" spans="1:10" ht="15.75" customHeight="1" thickBot="1" x14ac:dyDescent="0.25">
      <c r="B362" s="187"/>
      <c r="C362" s="16"/>
      <c r="D362" s="188"/>
      <c r="E362" s="196"/>
      <c r="F362" s="196"/>
      <c r="G362" s="196"/>
      <c r="H362" s="195">
        <f>SUM(H359:H361)</f>
        <v>31650</v>
      </c>
    </row>
    <row r="363" spans="1:10" ht="15.75" customHeight="1" thickTop="1" x14ac:dyDescent="0.2">
      <c r="B363" s="187"/>
      <c r="C363" s="16"/>
      <c r="D363" s="188"/>
      <c r="E363" s="196"/>
      <c r="F363" s="196"/>
      <c r="G363" s="196"/>
      <c r="H363" s="196"/>
    </row>
    <row r="364" spans="1:10" s="23" customFormat="1" ht="15.75" customHeight="1" x14ac:dyDescent="0.2">
      <c r="A364" s="78">
        <f>+A330+1</f>
        <v>21</v>
      </c>
      <c r="B364" s="78" t="s">
        <v>654</v>
      </c>
      <c r="C364" s="9"/>
      <c r="D364" s="16"/>
      <c r="E364" s="16"/>
      <c r="F364" s="69"/>
      <c r="G364" s="69"/>
      <c r="H364" s="69"/>
    </row>
    <row r="365" spans="1:10" ht="15.75" customHeight="1" x14ac:dyDescent="0.2">
      <c r="B365" s="215"/>
      <c r="C365" s="198"/>
      <c r="D365" s="198"/>
      <c r="E365" s="198"/>
      <c r="F365" s="70"/>
      <c r="G365" s="70"/>
      <c r="H365" s="70"/>
    </row>
    <row r="366" spans="1:10" s="23" customFormat="1" ht="47.25" hidden="1" customHeight="1" x14ac:dyDescent="0.2">
      <c r="A366" s="78"/>
      <c r="B366" s="514"/>
      <c r="C366" s="514"/>
      <c r="D366" s="514"/>
      <c r="E366" s="514"/>
      <c r="F366" s="514"/>
      <c r="G366" s="514"/>
      <c r="H366" s="514"/>
    </row>
    <row r="367" spans="1:10" s="23" customFormat="1" ht="34.5" hidden="1" customHeight="1" x14ac:dyDescent="0.2">
      <c r="A367" s="78"/>
      <c r="B367" s="525" t="s">
        <v>1255</v>
      </c>
      <c r="C367" s="525"/>
      <c r="D367" s="525"/>
      <c r="E367" s="525"/>
      <c r="F367" s="525"/>
      <c r="G367" s="525"/>
      <c r="H367" s="525"/>
      <c r="J367" s="35" t="s">
        <v>940</v>
      </c>
    </row>
    <row r="368" spans="1:10" s="23" customFormat="1" ht="34.5" hidden="1" customHeight="1" x14ac:dyDescent="0.2">
      <c r="A368" s="78"/>
      <c r="B368" s="525" t="s">
        <v>1256</v>
      </c>
      <c r="C368" s="525"/>
      <c r="D368" s="525"/>
      <c r="E368" s="525"/>
      <c r="F368" s="525"/>
      <c r="G368" s="525"/>
      <c r="H368" s="525"/>
      <c r="J368" s="35" t="s">
        <v>941</v>
      </c>
    </row>
    <row r="369" spans="1:9" s="23" customFormat="1" ht="57.75" customHeight="1" x14ac:dyDescent="0.2">
      <c r="A369" s="78"/>
      <c r="B369" s="515" t="s">
        <v>1632</v>
      </c>
      <c r="C369" s="518"/>
      <c r="D369" s="518"/>
      <c r="E369" s="518"/>
      <c r="F369" s="518"/>
      <c r="G369" s="518"/>
      <c r="H369" s="518"/>
      <c r="I369" s="263"/>
    </row>
    <row r="370" spans="1:9" s="23" customFormat="1" ht="15.75" customHeight="1" x14ac:dyDescent="0.2">
      <c r="A370" s="78"/>
      <c r="B370" s="78"/>
      <c r="C370" s="9"/>
      <c r="D370" s="16"/>
      <c r="E370" s="16"/>
      <c r="F370" s="69"/>
      <c r="G370" s="69"/>
      <c r="H370" s="69"/>
    </row>
    <row r="371" spans="1:9" s="23" customFormat="1" ht="68.25" customHeight="1" x14ac:dyDescent="0.2">
      <c r="A371" s="78"/>
      <c r="B371" s="514" t="s">
        <v>1633</v>
      </c>
      <c r="C371" s="514"/>
      <c r="D371" s="514"/>
      <c r="E371" s="514"/>
      <c r="F371" s="514"/>
      <c r="G371" s="514"/>
      <c r="H371" s="514"/>
    </row>
    <row r="372" spans="1:9" s="23" customFormat="1" ht="15.75" customHeight="1" x14ac:dyDescent="0.2">
      <c r="A372" s="78"/>
      <c r="B372" s="78"/>
      <c r="C372" s="9"/>
      <c r="D372" s="16"/>
      <c r="E372" s="16"/>
      <c r="F372" s="69"/>
      <c r="G372" s="69"/>
      <c r="H372" s="69"/>
    </row>
    <row r="373" spans="1:9" s="16" customFormat="1" ht="15.75" hidden="1" customHeight="1" x14ac:dyDescent="0.2">
      <c r="A373" s="66"/>
      <c r="B373" s="215"/>
      <c r="C373" s="197"/>
      <c r="D373" s="197"/>
      <c r="E373" s="197"/>
      <c r="F373" s="71"/>
      <c r="G373" s="71"/>
      <c r="H373" s="71"/>
      <c r="I373" s="45"/>
    </row>
    <row r="374" spans="1:9" ht="15.75" customHeight="1" x14ac:dyDescent="0.2">
      <c r="B374" s="215"/>
      <c r="C374" s="198"/>
      <c r="D374" s="198"/>
      <c r="E374" s="198"/>
      <c r="F374" s="70"/>
      <c r="G374" s="70"/>
      <c r="H374" s="70"/>
    </row>
    <row r="375" spans="1:9" ht="15.75" customHeight="1" x14ac:dyDescent="0.2">
      <c r="A375" s="78">
        <f>A364+1</f>
        <v>22</v>
      </c>
      <c r="B375" s="78" t="s">
        <v>655</v>
      </c>
      <c r="C375" s="9"/>
      <c r="D375" s="9"/>
      <c r="E375" s="9"/>
      <c r="F375" s="67"/>
      <c r="G375" s="67"/>
      <c r="H375" s="75"/>
    </row>
    <row r="376" spans="1:9" ht="15.75" customHeight="1" x14ac:dyDescent="0.2">
      <c r="B376" s="78"/>
      <c r="C376" s="9"/>
      <c r="D376" s="9"/>
      <c r="E376" s="9"/>
      <c r="F376" s="67"/>
      <c r="G376" s="67"/>
    </row>
    <row r="377" spans="1:9" ht="15.75" customHeight="1" x14ac:dyDescent="0.2">
      <c r="B377" s="199" t="s">
        <v>167</v>
      </c>
      <c r="C377" s="9"/>
      <c r="D377" s="9"/>
      <c r="E377" s="9"/>
      <c r="F377" s="67"/>
      <c r="G377" s="67"/>
    </row>
    <row r="378" spans="1:9" ht="15.75" customHeight="1" x14ac:dyDescent="0.2">
      <c r="B378" s="78"/>
      <c r="C378" s="9"/>
      <c r="D378" s="9"/>
      <c r="E378" s="9"/>
      <c r="F378" s="67"/>
      <c r="G378" s="67"/>
    </row>
    <row r="379" spans="1:9" ht="15.75" customHeight="1" x14ac:dyDescent="0.2">
      <c r="B379" s="514" t="s">
        <v>1747</v>
      </c>
      <c r="C379" s="521"/>
      <c r="D379" s="521"/>
      <c r="E379" s="521"/>
      <c r="F379" s="521"/>
      <c r="G379" s="521"/>
    </row>
    <row r="380" spans="1:9" ht="15.75" customHeight="1" x14ac:dyDescent="0.2">
      <c r="B380" s="521"/>
      <c r="C380" s="521"/>
      <c r="D380" s="521"/>
      <c r="E380" s="521"/>
      <c r="F380" s="521"/>
      <c r="G380" s="521"/>
    </row>
    <row r="381" spans="1:9" ht="15.75" customHeight="1" x14ac:dyDescent="0.2">
      <c r="B381" s="78"/>
      <c r="C381" s="9"/>
      <c r="D381" s="9"/>
      <c r="E381" s="9"/>
      <c r="F381" s="43">
        <f>'Comprehensive Income'!$C$5</f>
        <v>2023</v>
      </c>
      <c r="G381" s="43">
        <f>'Comprehensive Income'!$E$5</f>
        <v>2022</v>
      </c>
    </row>
    <row r="382" spans="1:9" ht="15.75" customHeight="1" x14ac:dyDescent="0.2">
      <c r="B382" s="78"/>
      <c r="C382" s="9"/>
      <c r="D382" s="9"/>
      <c r="E382" s="9"/>
      <c r="F382" s="68" t="s">
        <v>606</v>
      </c>
      <c r="G382" s="68" t="s">
        <v>606</v>
      </c>
    </row>
    <row r="383" spans="1:9" ht="15.75" customHeight="1" x14ac:dyDescent="0.2">
      <c r="B383" s="78"/>
      <c r="C383" s="9"/>
      <c r="D383" s="9"/>
      <c r="E383" s="9"/>
      <c r="F383" s="68" t="s">
        <v>605</v>
      </c>
      <c r="G383" s="68" t="s">
        <v>605</v>
      </c>
    </row>
    <row r="384" spans="1:9" ht="15.75" customHeight="1" x14ac:dyDescent="0.2">
      <c r="B384" s="312" t="s">
        <v>935</v>
      </c>
      <c r="C384" s="9"/>
      <c r="D384" s="9"/>
      <c r="E384" s="9"/>
      <c r="F384" s="68"/>
      <c r="G384" s="68"/>
    </row>
    <row r="385" spans="1:10" ht="15.75" customHeight="1" x14ac:dyDescent="0.2">
      <c r="B385" s="82" t="s">
        <v>173</v>
      </c>
      <c r="C385" s="9"/>
      <c r="D385" s="9"/>
      <c r="E385" s="9"/>
      <c r="F385" s="313">
        <f>F111</f>
        <v>6000</v>
      </c>
      <c r="G385" s="313">
        <f>H111</f>
        <v>5960</v>
      </c>
    </row>
    <row r="386" spans="1:10" ht="15.75" hidden="1" customHeight="1" x14ac:dyDescent="0.2">
      <c r="B386" s="82" t="s">
        <v>936</v>
      </c>
      <c r="C386" s="9"/>
      <c r="D386" s="9"/>
      <c r="E386" s="9"/>
      <c r="F386" s="314">
        <v>0.14000000000000001</v>
      </c>
      <c r="G386" s="377">
        <v>0.15</v>
      </c>
    </row>
    <row r="387" spans="1:10" ht="15.75" customHeight="1" x14ac:dyDescent="0.2">
      <c r="B387" s="78"/>
      <c r="C387" s="9"/>
      <c r="D387" s="9"/>
      <c r="E387" s="9"/>
      <c r="F387" s="68"/>
      <c r="G387" s="68"/>
    </row>
    <row r="388" spans="1:10" ht="15.75" customHeight="1" x14ac:dyDescent="0.2">
      <c r="B388" s="312" t="s">
        <v>937</v>
      </c>
      <c r="C388" s="9"/>
      <c r="D388" s="9"/>
      <c r="E388" s="9"/>
      <c r="F388" s="68"/>
      <c r="G388" s="68"/>
    </row>
    <row r="389" spans="1:10" ht="15.75" customHeight="1" x14ac:dyDescent="0.2">
      <c r="B389" s="66" t="s">
        <v>173</v>
      </c>
      <c r="C389" s="9"/>
      <c r="D389" s="9"/>
      <c r="E389" s="9"/>
      <c r="F389" s="313">
        <v>1462151</v>
      </c>
      <c r="G389" s="313">
        <v>1550413</v>
      </c>
    </row>
    <row r="390" spans="1:10" ht="15.75" customHeight="1" x14ac:dyDescent="0.2">
      <c r="B390" s="66" t="s">
        <v>938</v>
      </c>
      <c r="C390" s="9"/>
      <c r="D390" s="9"/>
      <c r="E390" s="9"/>
      <c r="F390" s="314">
        <v>10.9</v>
      </c>
      <c r="G390" s="314">
        <v>12.7</v>
      </c>
    </row>
    <row r="391" spans="1:10" ht="15.75" customHeight="1" x14ac:dyDescent="0.2">
      <c r="B391" s="82"/>
      <c r="C391" s="9"/>
      <c r="D391" s="9"/>
      <c r="E391" s="9"/>
      <c r="F391" s="315"/>
      <c r="G391" s="315"/>
    </row>
    <row r="392" spans="1:10" ht="15.75" hidden="1" customHeight="1" x14ac:dyDescent="0.2">
      <c r="B392" s="82"/>
      <c r="C392" s="9"/>
      <c r="D392" s="9"/>
      <c r="E392" s="9"/>
      <c r="F392" s="316"/>
      <c r="G392" s="316"/>
    </row>
    <row r="393" spans="1:10" ht="15.75" customHeight="1" thickBot="1" x14ac:dyDescent="0.25">
      <c r="B393" s="66" t="s">
        <v>1746</v>
      </c>
      <c r="C393" s="9"/>
      <c r="D393" s="9"/>
      <c r="E393" s="9"/>
      <c r="F393" s="317">
        <f>F385+F389</f>
        <v>1468151</v>
      </c>
      <c r="G393" s="317">
        <f>G385+G389</f>
        <v>1556373</v>
      </c>
    </row>
    <row r="394" spans="1:10" ht="15.75" customHeight="1" thickTop="1" x14ac:dyDescent="0.2">
      <c r="B394" s="78"/>
      <c r="C394" s="9"/>
      <c r="D394" s="9"/>
      <c r="E394" s="9"/>
      <c r="F394" s="67"/>
      <c r="G394" s="67"/>
    </row>
    <row r="395" spans="1:10" ht="15.75" customHeight="1" x14ac:dyDescent="0.2">
      <c r="B395" s="80"/>
      <c r="C395" s="9"/>
      <c r="D395" s="9"/>
      <c r="E395" s="9"/>
      <c r="F395" s="67"/>
      <c r="G395" s="67"/>
    </row>
    <row r="396" spans="1:10" s="15" customFormat="1" ht="15.75" customHeight="1" x14ac:dyDescent="0.2">
      <c r="A396" s="82"/>
      <c r="B396" s="514" t="s">
        <v>1634</v>
      </c>
      <c r="C396" s="521"/>
      <c r="D396" s="521"/>
      <c r="E396" s="521"/>
      <c r="F396" s="521"/>
      <c r="G396" s="521"/>
      <c r="H396" s="2"/>
    </row>
    <row r="397" spans="1:10" s="15" customFormat="1" ht="39" customHeight="1" x14ac:dyDescent="0.2">
      <c r="A397" s="82"/>
      <c r="B397" s="521"/>
      <c r="C397" s="521"/>
      <c r="D397" s="521"/>
      <c r="E397" s="521"/>
      <c r="F397" s="521"/>
      <c r="G397" s="521"/>
      <c r="H397" s="2"/>
      <c r="J397" s="16" t="s">
        <v>781</v>
      </c>
    </row>
    <row r="398" spans="1:10" s="9" customFormat="1" ht="15.75" customHeight="1" x14ac:dyDescent="0.2">
      <c r="A398" s="78"/>
      <c r="B398" s="298" t="s">
        <v>644</v>
      </c>
      <c r="C398" s="299"/>
      <c r="D398" s="299"/>
      <c r="E398" s="300"/>
      <c r="F398" s="301"/>
      <c r="G398" s="301"/>
      <c r="H398" s="67"/>
    </row>
    <row r="399" spans="1:10" s="9" customFormat="1" ht="15.75" customHeight="1" x14ac:dyDescent="0.2">
      <c r="A399" s="78"/>
      <c r="B399" s="302" t="s">
        <v>170</v>
      </c>
      <c r="C399" s="299"/>
      <c r="D399" s="299"/>
      <c r="E399" s="300"/>
      <c r="F399" s="301"/>
      <c r="G399" s="301"/>
      <c r="H399" s="67"/>
    </row>
    <row r="400" spans="1:10" s="9" customFormat="1" ht="15.75" customHeight="1" x14ac:dyDescent="0.2">
      <c r="A400" s="78"/>
      <c r="B400" s="302"/>
      <c r="C400" s="299"/>
      <c r="D400" s="299"/>
      <c r="E400" s="300"/>
      <c r="F400" s="301"/>
      <c r="G400" s="301"/>
      <c r="H400" s="67"/>
    </row>
    <row r="401" spans="1:10" s="9" customFormat="1" ht="15.75" customHeight="1" x14ac:dyDescent="0.2">
      <c r="A401" s="78"/>
      <c r="B401" s="302"/>
      <c r="C401" s="299"/>
      <c r="D401" s="299"/>
      <c r="F401" s="43">
        <f>'Comprehensive Income'!$C$5</f>
        <v>2023</v>
      </c>
      <c r="G401" s="43">
        <f>'Comprehensive Income'!$E$5</f>
        <v>2022</v>
      </c>
      <c r="H401" s="67"/>
    </row>
    <row r="402" spans="1:10" s="9" customFormat="1" ht="15.75" customHeight="1" x14ac:dyDescent="0.2">
      <c r="A402" s="78"/>
      <c r="B402" s="82"/>
      <c r="C402" s="15"/>
      <c r="D402" s="15"/>
      <c r="F402" s="68" t="s">
        <v>606</v>
      </c>
      <c r="G402" s="68" t="s">
        <v>606</v>
      </c>
      <c r="H402" s="67"/>
    </row>
    <row r="403" spans="1:10" s="9" customFormat="1" ht="15.75" customHeight="1" x14ac:dyDescent="0.2">
      <c r="A403" s="78"/>
      <c r="B403" s="82" t="s">
        <v>756</v>
      </c>
      <c r="C403" s="15"/>
      <c r="D403" s="15"/>
      <c r="F403" s="73" t="s">
        <v>621</v>
      </c>
      <c r="G403" s="73" t="s">
        <v>621</v>
      </c>
      <c r="H403" s="67"/>
      <c r="J403" s="141"/>
    </row>
    <row r="404" spans="1:10" s="9" customFormat="1" ht="15.75" customHeight="1" x14ac:dyDescent="0.2">
      <c r="A404" s="78"/>
      <c r="B404" s="82" t="s">
        <v>754</v>
      </c>
      <c r="D404" s="15"/>
      <c r="F404" s="193" t="s">
        <v>1712</v>
      </c>
      <c r="G404" s="193" t="s">
        <v>1547</v>
      </c>
      <c r="H404" s="67"/>
    </row>
    <row r="405" spans="1:10" s="9" customFormat="1" ht="15.75" customHeight="1" x14ac:dyDescent="0.2">
      <c r="A405" s="78"/>
      <c r="B405" s="303" t="s">
        <v>755</v>
      </c>
      <c r="D405" s="15"/>
      <c r="F405" s="304" t="s">
        <v>1548</v>
      </c>
      <c r="G405" s="193" t="s">
        <v>1548</v>
      </c>
      <c r="H405" s="67"/>
    </row>
    <row r="406" spans="1:10" s="9" customFormat="1" ht="15.75" customHeight="1" x14ac:dyDescent="0.2">
      <c r="A406" s="78"/>
      <c r="B406" s="303" t="s">
        <v>774</v>
      </c>
      <c r="D406" s="15"/>
      <c r="F406" s="72" t="s">
        <v>622</v>
      </c>
      <c r="G406" s="72" t="s">
        <v>622</v>
      </c>
      <c r="H406" s="67"/>
    </row>
    <row r="407" spans="1:10" s="9" customFormat="1" ht="15.75" customHeight="1" x14ac:dyDescent="0.2">
      <c r="A407" s="78"/>
      <c r="B407" s="82"/>
      <c r="C407" s="15"/>
      <c r="D407" s="15"/>
      <c r="E407" s="305"/>
      <c r="F407" s="306"/>
      <c r="G407" s="306"/>
      <c r="H407" s="67"/>
    </row>
    <row r="408" spans="1:10" s="9" customFormat="1" ht="15.75" customHeight="1" x14ac:dyDescent="0.2">
      <c r="A408" s="78"/>
      <c r="B408" s="298" t="s">
        <v>753</v>
      </c>
      <c r="C408" s="299"/>
      <c r="D408" s="299"/>
      <c r="E408" s="307"/>
      <c r="F408" s="308"/>
      <c r="G408" s="308"/>
      <c r="H408" s="67"/>
    </row>
    <row r="409" spans="1:10" s="9" customFormat="1" ht="15.75" customHeight="1" x14ac:dyDescent="0.2">
      <c r="A409" s="78"/>
      <c r="B409" s="66" t="s">
        <v>171</v>
      </c>
      <c r="C409" s="299"/>
      <c r="D409" s="299"/>
      <c r="F409" s="67"/>
      <c r="G409" s="67"/>
      <c r="H409" s="67"/>
    </row>
    <row r="410" spans="1:10" s="9" customFormat="1" ht="24.75" customHeight="1" x14ac:dyDescent="0.2">
      <c r="A410" s="78"/>
      <c r="B410" s="66"/>
      <c r="C410" s="299"/>
      <c r="D410" s="299"/>
      <c r="E410" s="43" t="s">
        <v>173</v>
      </c>
      <c r="F410" s="43">
        <f>'Comprehensive Income'!$C$5</f>
        <v>2023</v>
      </c>
      <c r="G410" s="43">
        <f>'Comprehensive Income'!$E$5</f>
        <v>2022</v>
      </c>
      <c r="H410" s="67"/>
    </row>
    <row r="411" spans="1:10" s="9" customFormat="1" ht="15.75" customHeight="1" x14ac:dyDescent="0.2">
      <c r="A411" s="78"/>
      <c r="B411" s="66"/>
      <c r="C411" s="299"/>
      <c r="D411" s="299"/>
      <c r="E411" s="309" t="s">
        <v>621</v>
      </c>
      <c r="F411" s="43" t="s">
        <v>172</v>
      </c>
      <c r="G411" s="43" t="s">
        <v>172</v>
      </c>
      <c r="H411" s="67"/>
    </row>
    <row r="412" spans="1:10" s="9" customFormat="1" ht="15.75" customHeight="1" x14ac:dyDescent="0.2">
      <c r="A412" s="78"/>
      <c r="B412" s="66"/>
      <c r="C412" s="299"/>
      <c r="D412" s="299"/>
      <c r="E412" s="193" t="s">
        <v>761</v>
      </c>
      <c r="F412" s="193">
        <v>61</v>
      </c>
      <c r="G412" s="193">
        <v>15</v>
      </c>
      <c r="H412" s="67"/>
    </row>
    <row r="413" spans="1:10" s="9" customFormat="1" ht="15.75" customHeight="1" x14ac:dyDescent="0.2">
      <c r="A413" s="78"/>
      <c r="B413" s="66"/>
      <c r="C413" s="299"/>
      <c r="D413" s="299"/>
      <c r="E413" s="193" t="s">
        <v>966</v>
      </c>
      <c r="F413" s="193">
        <v>15</v>
      </c>
      <c r="G413" s="193">
        <v>9</v>
      </c>
      <c r="H413" s="67"/>
    </row>
    <row r="414" spans="1:10" s="9" customFormat="1" ht="15.75" customHeight="1" x14ac:dyDescent="0.2">
      <c r="A414" s="78"/>
      <c r="B414" s="66"/>
      <c r="C414" s="299"/>
      <c r="D414" s="299"/>
      <c r="E414" s="193" t="s">
        <v>1257</v>
      </c>
      <c r="F414" s="72">
        <v>6</v>
      </c>
      <c r="G414" s="193" t="s">
        <v>622</v>
      </c>
      <c r="H414" s="67"/>
    </row>
    <row r="415" spans="1:10" s="9" customFormat="1" ht="15.75" customHeight="1" x14ac:dyDescent="0.2">
      <c r="A415" s="78"/>
      <c r="B415" s="66"/>
      <c r="C415" s="299"/>
      <c r="D415" s="299"/>
      <c r="E415" s="193" t="s">
        <v>1549</v>
      </c>
      <c r="F415" s="193">
        <v>2</v>
      </c>
      <c r="G415" s="72">
        <v>1</v>
      </c>
      <c r="H415" s="67"/>
    </row>
    <row r="416" spans="1:10" s="9" customFormat="1" ht="15.75" customHeight="1" x14ac:dyDescent="0.2">
      <c r="A416" s="78"/>
      <c r="B416" s="66"/>
      <c r="C416" s="299"/>
      <c r="D416" s="299"/>
      <c r="E416" s="193" t="s">
        <v>1713</v>
      </c>
      <c r="F416" s="193">
        <v>1</v>
      </c>
      <c r="G416" s="193" t="s">
        <v>622</v>
      </c>
      <c r="H416" s="67"/>
    </row>
    <row r="417" spans="1:10" s="9" customFormat="1" ht="15.75" customHeight="1" thickBot="1" x14ac:dyDescent="0.25">
      <c r="A417" s="78"/>
      <c r="B417" s="66"/>
      <c r="C417" s="299"/>
      <c r="D417" s="299"/>
      <c r="E417" s="193"/>
      <c r="F417" s="310">
        <f>SUM(F412:F416)</f>
        <v>85</v>
      </c>
      <c r="G417" s="310">
        <f>SUM(G412:G416)</f>
        <v>25</v>
      </c>
      <c r="H417" s="67"/>
      <c r="J417" s="141"/>
    </row>
    <row r="418" spans="1:10" s="9" customFormat="1" ht="15.75" customHeight="1" thickTop="1" x14ac:dyDescent="0.2">
      <c r="A418" s="78"/>
      <c r="B418" s="77"/>
      <c r="C418"/>
      <c r="D418"/>
      <c r="F418" s="67"/>
      <c r="G418" s="67"/>
      <c r="H418" s="67"/>
    </row>
    <row r="419" spans="1:10" s="9" customFormat="1" ht="15.75" customHeight="1" x14ac:dyDescent="0.2">
      <c r="A419" s="78"/>
      <c r="B419" s="50" t="s">
        <v>767</v>
      </c>
      <c r="C419" s="32"/>
      <c r="D419" s="32"/>
      <c r="E419" s="32"/>
      <c r="F419" s="311"/>
      <c r="G419" s="67"/>
      <c r="H419" s="67"/>
    </row>
    <row r="420" spans="1:10" s="9" customFormat="1" ht="15.75" customHeight="1" x14ac:dyDescent="0.2">
      <c r="A420" s="78"/>
      <c r="B420" s="77"/>
      <c r="C420"/>
      <c r="D420"/>
      <c r="F420" s="67"/>
      <c r="G420" s="67"/>
      <c r="H420" s="67"/>
      <c r="I420" s="37"/>
    </row>
    <row r="421" spans="1:10" s="9" customFormat="1" ht="15.75" customHeight="1" x14ac:dyDescent="0.2">
      <c r="A421" s="78"/>
      <c r="B421" s="77"/>
      <c r="C421"/>
      <c r="D421"/>
      <c r="F421" s="67"/>
      <c r="G421" s="67"/>
      <c r="H421" s="67"/>
    </row>
    <row r="422" spans="1:10" s="9" customFormat="1" ht="15.75" customHeight="1" x14ac:dyDescent="0.25">
      <c r="A422" s="78">
        <f>A375+1</f>
        <v>23</v>
      </c>
      <c r="B422" s="79" t="s">
        <v>656</v>
      </c>
      <c r="C422" s="5"/>
      <c r="D422" s="5"/>
      <c r="E422" s="20"/>
      <c r="F422" s="62"/>
      <c r="G422" s="62"/>
      <c r="H422" s="200"/>
      <c r="J422" s="141"/>
    </row>
    <row r="423" spans="1:10" s="9" customFormat="1" ht="15.75" customHeight="1" x14ac:dyDescent="0.2">
      <c r="A423" s="78"/>
      <c r="B423" s="76"/>
      <c r="C423" s="5"/>
      <c r="D423" s="5"/>
      <c r="E423" s="20"/>
      <c r="F423" s="62"/>
      <c r="G423" s="62"/>
      <c r="H423" s="200"/>
    </row>
    <row r="424" spans="1:10" s="9" customFormat="1" ht="15.75" customHeight="1" x14ac:dyDescent="0.2">
      <c r="A424" s="78"/>
      <c r="B424" s="529" t="s">
        <v>769</v>
      </c>
      <c r="C424" s="529"/>
      <c r="D424" s="529"/>
      <c r="E424" s="529"/>
      <c r="F424" s="529"/>
      <c r="G424" s="529"/>
      <c r="H424" s="529"/>
    </row>
    <row r="425" spans="1:10" s="9" customFormat="1" ht="15.75" customHeight="1" x14ac:dyDescent="0.2">
      <c r="A425" s="78"/>
      <c r="B425" s="529"/>
      <c r="C425" s="529"/>
      <c r="D425" s="529"/>
      <c r="E425" s="529"/>
      <c r="F425" s="529"/>
      <c r="G425" s="529"/>
      <c r="H425" s="529"/>
    </row>
    <row r="426" spans="1:10" s="15" customFormat="1" ht="15.75" customHeight="1" x14ac:dyDescent="0.2">
      <c r="A426" s="82"/>
      <c r="B426" s="529"/>
      <c r="C426" s="529"/>
      <c r="D426" s="529"/>
      <c r="E426" s="529"/>
      <c r="F426" s="529"/>
      <c r="G426" s="529"/>
      <c r="H426" s="529"/>
    </row>
    <row r="427" spans="1:10" s="15" customFormat="1" ht="15.75" customHeight="1" x14ac:dyDescent="0.2">
      <c r="A427" s="82"/>
      <c r="B427" s="201"/>
      <c r="C427" s="294"/>
      <c r="D427" s="294"/>
      <c r="E427" s="294"/>
      <c r="F427" s="202"/>
      <c r="G427" s="202"/>
      <c r="H427" s="203"/>
    </row>
    <row r="428" spans="1:10" ht="15.75" customHeight="1" x14ac:dyDescent="0.2">
      <c r="B428" s="127"/>
      <c r="C428" s="35"/>
      <c r="D428" s="35"/>
      <c r="E428" s="5"/>
      <c r="F428" s="43">
        <f>'Comprehensive Income'!$C$5</f>
        <v>2023</v>
      </c>
      <c r="G428" s="43">
        <f>'Comprehensive Income'!$E$5</f>
        <v>2022</v>
      </c>
      <c r="H428" s="204"/>
    </row>
    <row r="429" spans="1:10" ht="15.75" customHeight="1" x14ac:dyDescent="0.2">
      <c r="B429" s="127"/>
      <c r="C429" s="35"/>
      <c r="D429" s="35"/>
      <c r="E429" s="5"/>
      <c r="F429" s="38" t="s">
        <v>606</v>
      </c>
      <c r="G429" s="38" t="s">
        <v>606</v>
      </c>
      <c r="H429" s="204"/>
    </row>
    <row r="430" spans="1:10" ht="15.75" customHeight="1" x14ac:dyDescent="0.2">
      <c r="B430" s="127"/>
      <c r="C430" s="35"/>
      <c r="D430" s="35"/>
      <c r="E430" s="5"/>
      <c r="F430" s="38"/>
      <c r="G430" s="38"/>
      <c r="H430" s="204"/>
    </row>
    <row r="431" spans="1:10" ht="15.75" customHeight="1" x14ac:dyDescent="0.2">
      <c r="B431" s="76" t="s">
        <v>752</v>
      </c>
      <c r="C431" s="5"/>
      <c r="D431" s="38"/>
      <c r="E431" s="5"/>
      <c r="F431" s="193" t="s">
        <v>622</v>
      </c>
      <c r="G431" s="72">
        <v>50000</v>
      </c>
      <c r="H431" s="12"/>
    </row>
    <row r="432" spans="1:10" s="15" customFormat="1" ht="15.75" customHeight="1" x14ac:dyDescent="0.2">
      <c r="A432" s="82"/>
      <c r="B432" s="76" t="s">
        <v>615</v>
      </c>
      <c r="C432" s="28"/>
      <c r="D432" s="29"/>
      <c r="E432" s="5"/>
      <c r="F432" s="193" t="s">
        <v>622</v>
      </c>
      <c r="G432" s="72">
        <v>1</v>
      </c>
      <c r="H432" s="12"/>
    </row>
    <row r="433" spans="1:13" s="16" customFormat="1" ht="15.75" hidden="1" customHeight="1" x14ac:dyDescent="0.2">
      <c r="A433" s="66"/>
      <c r="B433" s="77"/>
      <c r="C433"/>
      <c r="D433"/>
      <c r="E433"/>
      <c r="F433" s="2"/>
      <c r="G433" s="2"/>
      <c r="H433" s="2"/>
    </row>
    <row r="434" spans="1:13" s="16" customFormat="1" ht="15.75" hidden="1" customHeight="1" x14ac:dyDescent="0.2">
      <c r="A434" s="66"/>
      <c r="B434" s="19" t="s">
        <v>967</v>
      </c>
      <c r="C434"/>
      <c r="D434"/>
      <c r="E434"/>
      <c r="F434" s="2"/>
      <c r="G434" s="2"/>
      <c r="H434" s="2"/>
    </row>
    <row r="435" spans="1:13" ht="15.75" hidden="1" customHeight="1" x14ac:dyDescent="0.2">
      <c r="B435" s="76" t="s">
        <v>752</v>
      </c>
      <c r="C435" s="5"/>
      <c r="D435" s="38"/>
      <c r="E435" s="5"/>
      <c r="F435" s="72" t="s">
        <v>622</v>
      </c>
      <c r="G435" s="72" t="s">
        <v>622</v>
      </c>
      <c r="H435" s="12"/>
    </row>
    <row r="436" spans="1:13" s="15" customFormat="1" ht="15.75" hidden="1" customHeight="1" x14ac:dyDescent="0.2">
      <c r="A436" s="82"/>
      <c r="B436" s="76" t="s">
        <v>615</v>
      </c>
      <c r="C436" s="28"/>
      <c r="D436" s="29"/>
      <c r="E436" s="5"/>
      <c r="F436" s="72" t="s">
        <v>622</v>
      </c>
      <c r="G436" s="72" t="s">
        <v>622</v>
      </c>
      <c r="H436" s="12"/>
    </row>
    <row r="437" spans="1:13" s="16" customFormat="1" ht="6.75" hidden="1" customHeight="1" x14ac:dyDescent="0.2">
      <c r="A437" s="66"/>
      <c r="B437" s="66"/>
      <c r="C437"/>
      <c r="D437"/>
      <c r="E437"/>
      <c r="F437" s="2"/>
      <c r="G437" s="2"/>
      <c r="H437" s="2"/>
    </row>
    <row r="438" spans="1:13" s="16" customFormat="1" ht="15.75" hidden="1" customHeight="1" x14ac:dyDescent="0.2">
      <c r="A438" s="66"/>
      <c r="B438" s="515" t="s">
        <v>968</v>
      </c>
      <c r="C438" s="515"/>
      <c r="D438" s="515"/>
      <c r="E438" s="515"/>
      <c r="F438" s="515"/>
      <c r="G438" s="515"/>
      <c r="H438" s="515"/>
      <c r="I438" s="515"/>
    </row>
    <row r="439" spans="1:13" s="16" customFormat="1" ht="15.75" hidden="1" customHeight="1" x14ac:dyDescent="0.2">
      <c r="A439" s="66"/>
      <c r="B439" s="515"/>
      <c r="C439" s="515"/>
      <c r="D439" s="515"/>
      <c r="E439" s="515"/>
      <c r="F439" s="515"/>
      <c r="G439" s="515"/>
      <c r="H439" s="515"/>
      <c r="I439" s="515"/>
    </row>
    <row r="440" spans="1:13" s="16" customFormat="1" ht="15.75" customHeight="1" x14ac:dyDescent="0.2">
      <c r="A440" s="66"/>
      <c r="B440" s="215"/>
      <c r="C440" s="215"/>
      <c r="D440" s="215"/>
      <c r="E440" s="215"/>
      <c r="F440" s="215"/>
      <c r="G440" s="215"/>
      <c r="H440" s="215"/>
      <c r="I440" s="215"/>
    </row>
    <row r="441" spans="1:13" s="16" customFormat="1" ht="15.75" customHeight="1" x14ac:dyDescent="0.2">
      <c r="A441" s="78">
        <f>A422+1</f>
        <v>24</v>
      </c>
      <c r="B441" s="78" t="s">
        <v>657</v>
      </c>
      <c r="C441" s="9"/>
      <c r="D441" s="9"/>
      <c r="E441" s="9"/>
      <c r="F441" s="67"/>
      <c r="G441" s="67"/>
      <c r="H441" s="69"/>
      <c r="J441" s="141"/>
      <c r="M441" s="16" t="s">
        <v>781</v>
      </c>
    </row>
    <row r="442" spans="1:13" s="16" customFormat="1" ht="15.75" customHeight="1" x14ac:dyDescent="0.2">
      <c r="A442" s="78"/>
      <c r="B442" s="78"/>
      <c r="C442" s="9"/>
      <c r="D442" s="9"/>
      <c r="E442" s="9"/>
      <c r="F442" s="67"/>
      <c r="G442" s="67"/>
      <c r="H442" s="69"/>
    </row>
    <row r="443" spans="1:13" s="16" customFormat="1" ht="15.75" customHeight="1" x14ac:dyDescent="0.2">
      <c r="A443" s="78"/>
      <c r="B443" s="66" t="s">
        <v>1714</v>
      </c>
      <c r="C443" s="9"/>
      <c r="D443" s="9"/>
      <c r="E443" s="9"/>
      <c r="F443" s="67"/>
      <c r="G443" s="67"/>
      <c r="H443" s="69"/>
    </row>
    <row r="444" spans="1:13" s="16" customFormat="1" ht="15.75" customHeight="1" x14ac:dyDescent="0.2">
      <c r="A444" s="78"/>
      <c r="B444" s="78"/>
      <c r="C444" s="9"/>
      <c r="D444" s="9"/>
      <c r="E444" s="9"/>
      <c r="F444" s="67"/>
      <c r="G444" s="67"/>
      <c r="H444" s="69"/>
    </row>
    <row r="445" spans="1:13" s="16" customFormat="1" ht="96" customHeight="1" x14ac:dyDescent="0.2">
      <c r="A445" s="66"/>
      <c r="B445" s="514" t="s">
        <v>1658</v>
      </c>
      <c r="C445" s="514"/>
      <c r="D445" s="514"/>
      <c r="E445" s="514"/>
      <c r="F445" s="514"/>
      <c r="G445" s="514"/>
      <c r="H445" s="514"/>
    </row>
    <row r="446" spans="1:13" s="16" customFormat="1" ht="14.25" customHeight="1" x14ac:dyDescent="0.2">
      <c r="A446" s="66"/>
      <c r="B446" s="117"/>
      <c r="C446" s="117"/>
      <c r="D446" s="117"/>
      <c r="E446" s="117"/>
      <c r="F446" s="117"/>
      <c r="G446" s="117"/>
      <c r="H446" s="117"/>
    </row>
    <row r="447" spans="1:13" s="16" customFormat="1" ht="15.75" customHeight="1" x14ac:dyDescent="0.2">
      <c r="A447" s="78">
        <f>A441+1</f>
        <v>25</v>
      </c>
      <c r="B447" s="78" t="s">
        <v>658</v>
      </c>
      <c r="C447" s="9"/>
      <c r="D447" s="9"/>
      <c r="E447" s="9"/>
      <c r="F447" s="67"/>
      <c r="G447" s="67"/>
      <c r="H447" s="69"/>
      <c r="J447" s="141"/>
    </row>
    <row r="448" spans="1:13" s="16" customFormat="1" ht="15.75" customHeight="1" x14ac:dyDescent="0.2">
      <c r="A448" s="66"/>
      <c r="B448" s="117"/>
      <c r="C448" s="117"/>
      <c r="D448" s="117"/>
      <c r="E448" s="117"/>
      <c r="F448" s="205"/>
      <c r="G448" s="205"/>
      <c r="H448" s="69"/>
    </row>
    <row r="449" spans="1:10" s="16" customFormat="1" ht="15.75" customHeight="1" x14ac:dyDescent="0.2">
      <c r="A449" s="66"/>
      <c r="B449" s="127" t="s">
        <v>620</v>
      </c>
      <c r="C449" s="286"/>
      <c r="D449" s="286"/>
      <c r="E449" s="286"/>
      <c r="F449" s="206"/>
      <c r="G449" s="206"/>
      <c r="H449" s="69"/>
      <c r="J449" s="1"/>
    </row>
    <row r="450" spans="1:10" s="16" customFormat="1" ht="12" customHeight="1" x14ac:dyDescent="0.2">
      <c r="A450" s="66"/>
      <c r="B450" s="516">
        <v>132606</v>
      </c>
      <c r="C450" s="516"/>
      <c r="D450" s="516"/>
      <c r="E450" s="516"/>
      <c r="F450" s="516"/>
      <c r="G450" s="516"/>
      <c r="H450" s="516"/>
      <c r="I450" s="516"/>
    </row>
    <row r="451" spans="1:10" s="16" customFormat="1" ht="15.75" hidden="1" customHeight="1" x14ac:dyDescent="0.2">
      <c r="A451" s="66"/>
      <c r="B451" s="515" t="str">
        <f>CONCATENATE("At 31 December ",'Comprehensive Income'!$C$5,", the Board had capital commitments of $",TEXT(H469,"#,##0")," (",'Comprehensive Income'!$C$5-1,":$",TEXT(B450,"#,##0"),") as a result of entering the following contracts:")</f>
        <v>At 31 December 2023, the Board had capital commitments of $4,772 (2022:$132,606) as a result of entering the following contracts:</v>
      </c>
      <c r="C451" s="515"/>
      <c r="D451" s="515"/>
      <c r="E451" s="515"/>
      <c r="F451" s="515"/>
      <c r="G451" s="515"/>
      <c r="H451" s="515"/>
      <c r="I451" s="515"/>
    </row>
    <row r="452" spans="1:10" s="16" customFormat="1" ht="24" customHeight="1" x14ac:dyDescent="0.2">
      <c r="A452" s="66"/>
      <c r="B452" s="515" t="str">
        <f>CONCATENATE("At 31 December ",'Comprehensive Income'!$C$5,", the Board had no capital commitments. (2022: $132,606)")</f>
        <v>At 31 December 2023, the Board had no capital commitments. (2022: $132,606)</v>
      </c>
      <c r="C452" s="515"/>
      <c r="D452" s="515"/>
      <c r="E452" s="515"/>
      <c r="F452" s="515"/>
      <c r="G452" s="515"/>
      <c r="H452" s="515"/>
      <c r="I452" s="515"/>
    </row>
    <row r="453" spans="1:10" s="16" customFormat="1" ht="29.25" hidden="1" customHeight="1" x14ac:dyDescent="0.2">
      <c r="A453" s="66"/>
      <c r="B453" s="520" t="s">
        <v>1655</v>
      </c>
      <c r="C453" s="520"/>
      <c r="D453" s="520"/>
      <c r="E453" s="520"/>
      <c r="F453" s="520"/>
      <c r="G453" s="520"/>
      <c r="H453" s="520"/>
      <c r="I453" s="520"/>
    </row>
    <row r="454" spans="1:10" s="16" customFormat="1" ht="15.75" hidden="1" customHeight="1" x14ac:dyDescent="0.2">
      <c r="A454" s="66"/>
      <c r="B454" s="370"/>
      <c r="C454" s="370"/>
      <c r="D454" s="370"/>
      <c r="E454" s="370"/>
      <c r="F454" s="370"/>
      <c r="G454" s="370"/>
      <c r="H454" s="370"/>
      <c r="I454" s="370"/>
    </row>
    <row r="455" spans="1:10" s="16" customFormat="1" ht="32.25" hidden="1" customHeight="1" x14ac:dyDescent="0.2">
      <c r="A455" s="66"/>
      <c r="B455" s="514" t="s">
        <v>1659</v>
      </c>
      <c r="C455" s="514"/>
      <c r="D455" s="514"/>
      <c r="E455" s="514"/>
      <c r="F455" s="514"/>
      <c r="G455" s="514"/>
      <c r="H455" s="514"/>
      <c r="I455" s="120"/>
    </row>
    <row r="456" spans="1:10" s="16" customFormat="1" ht="4.5" customHeight="1" x14ac:dyDescent="0.2">
      <c r="A456" s="66"/>
      <c r="B456" s="514"/>
      <c r="C456" s="514"/>
      <c r="D456" s="514"/>
      <c r="E456" s="514"/>
      <c r="F456" s="514"/>
      <c r="G456" s="514"/>
      <c r="H456" s="514"/>
      <c r="I456" s="120"/>
    </row>
    <row r="457" spans="1:10" s="16" customFormat="1" ht="42" hidden="1" customHeight="1" x14ac:dyDescent="0.2">
      <c r="A457" s="66"/>
      <c r="B457" s="361" t="s">
        <v>1700</v>
      </c>
      <c r="C457" s="362"/>
      <c r="D457" s="363" t="s">
        <v>1701</v>
      </c>
      <c r="E457" s="362"/>
      <c r="F457" s="363" t="s">
        <v>1702</v>
      </c>
      <c r="G457" s="362"/>
      <c r="H457" s="364" t="s">
        <v>1703</v>
      </c>
      <c r="I457" s="120"/>
    </row>
    <row r="458" spans="1:10" s="16" customFormat="1" ht="15.75" hidden="1" customHeight="1" x14ac:dyDescent="0.2">
      <c r="A458" s="66"/>
      <c r="B458" s="361"/>
      <c r="C458" s="362"/>
      <c r="D458" s="366" t="s">
        <v>605</v>
      </c>
      <c r="E458" s="362"/>
      <c r="F458" s="366" t="s">
        <v>605</v>
      </c>
      <c r="G458" s="362"/>
      <c r="H458" s="366" t="s">
        <v>605</v>
      </c>
      <c r="I458" s="120"/>
    </row>
    <row r="459" spans="1:10" s="16" customFormat="1" ht="15.75" hidden="1" customHeight="1" x14ac:dyDescent="0.2">
      <c r="A459" s="66"/>
      <c r="B459" s="369" t="s">
        <v>1574</v>
      </c>
      <c r="C459" s="362"/>
      <c r="D459" s="367">
        <v>16718</v>
      </c>
      <c r="E459" s="362"/>
      <c r="F459" s="367">
        <v>11946</v>
      </c>
      <c r="G459" s="362"/>
      <c r="H459" s="367">
        <f>D459-F459</f>
        <v>4772</v>
      </c>
      <c r="I459" s="120"/>
    </row>
    <row r="460" spans="1:10" s="16" customFormat="1" ht="15.75" hidden="1" customHeight="1" x14ac:dyDescent="0.2">
      <c r="A460" s="66"/>
      <c r="B460" s="369"/>
      <c r="C460" s="362"/>
      <c r="D460" s="367"/>
      <c r="E460" s="362"/>
      <c r="F460" s="367"/>
      <c r="G460" s="362"/>
      <c r="H460" s="367"/>
      <c r="I460" s="120"/>
    </row>
    <row r="461" spans="1:10" s="16" customFormat="1" ht="15.75" hidden="1" customHeight="1" x14ac:dyDescent="0.2">
      <c r="A461" s="66"/>
      <c r="B461" s="361"/>
      <c r="C461" s="362"/>
      <c r="D461" s="367"/>
      <c r="E461" s="362"/>
      <c r="F461" s="367"/>
      <c r="G461" s="362"/>
      <c r="H461" s="367"/>
      <c r="I461" s="120"/>
    </row>
    <row r="462" spans="1:10" s="16" customFormat="1" ht="15.75" hidden="1" customHeight="1" x14ac:dyDescent="0.2">
      <c r="A462" s="66"/>
      <c r="B462" s="361"/>
      <c r="C462" s="362"/>
      <c r="D462" s="367"/>
      <c r="E462" s="362"/>
      <c r="F462" s="367"/>
      <c r="G462" s="362"/>
      <c r="H462" s="367"/>
      <c r="I462" s="120"/>
    </row>
    <row r="463" spans="1:10" s="16" customFormat="1" ht="15.75" hidden="1" customHeight="1" x14ac:dyDescent="0.2">
      <c r="A463" s="66"/>
      <c r="B463" s="361"/>
      <c r="C463" s="362"/>
      <c r="D463" s="367"/>
      <c r="E463" s="362"/>
      <c r="F463" s="367"/>
      <c r="G463" s="362"/>
      <c r="H463" s="367"/>
      <c r="I463" s="120"/>
    </row>
    <row r="464" spans="1:10" s="16" customFormat="1" ht="15.75" hidden="1" customHeight="1" x14ac:dyDescent="0.2">
      <c r="A464" s="66"/>
      <c r="B464" s="361"/>
      <c r="C464" s="362"/>
      <c r="D464" s="367"/>
      <c r="E464" s="362"/>
      <c r="F464" s="367"/>
      <c r="G464" s="362"/>
      <c r="H464" s="367"/>
      <c r="I464" s="120"/>
    </row>
    <row r="465" spans="1:9" s="16" customFormat="1" ht="15.75" hidden="1" customHeight="1" x14ac:dyDescent="0.2">
      <c r="A465" s="66"/>
      <c r="B465" s="361"/>
      <c r="C465" s="362"/>
      <c r="D465" s="367"/>
      <c r="E465" s="362"/>
      <c r="F465" s="367"/>
      <c r="G465" s="362"/>
      <c r="H465" s="367"/>
      <c r="I465" s="120"/>
    </row>
    <row r="466" spans="1:9" s="16" customFormat="1" ht="15.75" hidden="1" customHeight="1" x14ac:dyDescent="0.2">
      <c r="A466" s="66"/>
      <c r="B466" s="361"/>
      <c r="C466" s="362"/>
      <c r="D466" s="367"/>
      <c r="E466" s="362"/>
      <c r="F466" s="367"/>
      <c r="G466" s="362"/>
      <c r="H466" s="367"/>
      <c r="I466" s="120"/>
    </row>
    <row r="467" spans="1:9" s="16" customFormat="1" ht="15.75" hidden="1" customHeight="1" x14ac:dyDescent="0.2">
      <c r="A467" s="66"/>
      <c r="B467" s="361"/>
      <c r="C467" s="362"/>
      <c r="D467" s="367"/>
      <c r="E467" s="362"/>
      <c r="F467" s="367"/>
      <c r="G467" s="362"/>
      <c r="H467" s="367"/>
      <c r="I467" s="120"/>
    </row>
    <row r="468" spans="1:9" s="16" customFormat="1" ht="15.75" hidden="1" customHeight="1" x14ac:dyDescent="0.2">
      <c r="A468" s="66"/>
      <c r="B468" s="365"/>
      <c r="C468" s="362"/>
      <c r="D468" s="367"/>
      <c r="E468" s="362"/>
      <c r="F468" s="367"/>
      <c r="G468" s="362"/>
      <c r="H468" s="367"/>
      <c r="I468" s="120"/>
    </row>
    <row r="469" spans="1:9" s="16" customFormat="1" ht="15.75" hidden="1" customHeight="1" x14ac:dyDescent="0.2">
      <c r="A469" s="66"/>
      <c r="B469" s="368" t="s">
        <v>751</v>
      </c>
      <c r="C469" s="362"/>
      <c r="D469" s="367"/>
      <c r="E469" s="362"/>
      <c r="F469" s="367"/>
      <c r="G469" s="362"/>
      <c r="H469" s="367">
        <f>SUM(H459:H468)</f>
        <v>4772</v>
      </c>
      <c r="I469" s="120"/>
    </row>
    <row r="470" spans="1:9" s="16" customFormat="1" ht="31.5" hidden="1" customHeight="1" x14ac:dyDescent="0.2">
      <c r="A470" s="66"/>
      <c r="B470" s="117"/>
      <c r="C470" s="117"/>
      <c r="D470" s="117"/>
      <c r="E470" s="117"/>
      <c r="F470" s="117"/>
      <c r="G470" s="117"/>
      <c r="H470" s="117"/>
      <c r="I470" s="120"/>
    </row>
    <row r="471" spans="1:9" s="16" customFormat="1" ht="17.25" customHeight="1" x14ac:dyDescent="0.2">
      <c r="A471" s="66"/>
      <c r="B471" s="117"/>
      <c r="C471" s="117"/>
      <c r="D471" s="117"/>
      <c r="E471" s="117"/>
      <c r="F471" s="117"/>
      <c r="G471" s="117"/>
      <c r="H471" s="117"/>
      <c r="I471" s="120"/>
    </row>
    <row r="472" spans="1:9" s="16" customFormat="1" ht="15.75" customHeight="1" x14ac:dyDescent="0.2">
      <c r="A472" s="66"/>
      <c r="B472" s="19" t="s">
        <v>641</v>
      </c>
      <c r="C472"/>
      <c r="D472"/>
      <c r="E472" s="17"/>
      <c r="F472" s="17"/>
      <c r="G472" s="17"/>
      <c r="H472" s="69"/>
    </row>
    <row r="473" spans="1:9" s="16" customFormat="1" ht="15.75" customHeight="1" x14ac:dyDescent="0.2">
      <c r="A473" s="66"/>
      <c r="B473" s="19"/>
      <c r="C473"/>
      <c r="D473"/>
      <c r="E473" s="17"/>
      <c r="F473" s="17"/>
      <c r="G473" s="17"/>
      <c r="H473" s="69"/>
    </row>
    <row r="474" spans="1:9" s="16" customFormat="1" ht="15.75" customHeight="1" x14ac:dyDescent="0.2">
      <c r="A474" s="66"/>
      <c r="B474" s="22" t="s">
        <v>1660</v>
      </c>
      <c r="C474" s="32"/>
      <c r="D474" s="32"/>
      <c r="E474" s="32"/>
      <c r="F474" s="32"/>
      <c r="G474" s="32"/>
      <c r="H474" s="69"/>
    </row>
    <row r="475" spans="1:9" s="16" customFormat="1" ht="15.75" hidden="1" customHeight="1" x14ac:dyDescent="0.2">
      <c r="A475" s="66"/>
      <c r="B475" s="286"/>
      <c r="C475" s="169"/>
      <c r="D475" s="169"/>
      <c r="E475" s="169"/>
      <c r="F475" s="206"/>
      <c r="G475" s="206"/>
      <c r="H475" s="69"/>
    </row>
    <row r="476" spans="1:9" s="16" customFormat="1" ht="15.75" hidden="1" customHeight="1" x14ac:dyDescent="0.2">
      <c r="A476" s="66"/>
      <c r="B476" s="66" t="s">
        <v>663</v>
      </c>
      <c r="C476" s="169"/>
      <c r="D476" s="169"/>
      <c r="E476" s="169"/>
      <c r="F476" s="206"/>
      <c r="G476" s="206"/>
      <c r="H476" s="69"/>
    </row>
    <row r="477" spans="1:9" s="16" customFormat="1" ht="15.75" hidden="1" customHeight="1" x14ac:dyDescent="0.2">
      <c r="A477" s="66"/>
      <c r="B477" s="66" t="s">
        <v>942</v>
      </c>
      <c r="F477" s="43">
        <f>'Comprehensive Income'!$C$5</f>
        <v>2023</v>
      </c>
      <c r="G477" s="43">
        <f>'Comprehensive Income'!$E$5</f>
        <v>2022</v>
      </c>
      <c r="H477" s="69"/>
    </row>
    <row r="478" spans="1:9" s="16" customFormat="1" ht="15.75" hidden="1" customHeight="1" x14ac:dyDescent="0.2">
      <c r="A478" s="66"/>
      <c r="B478" s="66"/>
      <c r="F478" s="68" t="s">
        <v>606</v>
      </c>
      <c r="G478" s="68" t="s">
        <v>606</v>
      </c>
      <c r="H478" s="69"/>
    </row>
    <row r="479" spans="1:9" ht="15.75" hidden="1" customHeight="1" x14ac:dyDescent="0.2">
      <c r="B479" s="66"/>
      <c r="C479" s="16"/>
      <c r="D479" s="16"/>
      <c r="E479" s="16"/>
      <c r="F479" s="68" t="s">
        <v>605</v>
      </c>
      <c r="G479" s="68" t="s">
        <v>605</v>
      </c>
      <c r="H479" s="69"/>
    </row>
    <row r="480" spans="1:9" s="16" customFormat="1" ht="15.75" hidden="1" customHeight="1" x14ac:dyDescent="0.2">
      <c r="A480" s="66"/>
      <c r="B480" s="77" t="s">
        <v>628</v>
      </c>
      <c r="C480"/>
      <c r="D480"/>
      <c r="F480" s="207">
        <v>0</v>
      </c>
      <c r="G480" s="207">
        <v>44199</v>
      </c>
      <c r="H480" s="69"/>
    </row>
    <row r="481" spans="1:15" s="16" customFormat="1" ht="15.75" hidden="1" customHeight="1" x14ac:dyDescent="0.2">
      <c r="A481" s="66"/>
      <c r="B481" s="77" t="s">
        <v>629</v>
      </c>
      <c r="C481"/>
      <c r="D481"/>
      <c r="E481"/>
      <c r="F481" s="72" t="s">
        <v>622</v>
      </c>
      <c r="G481" s="208">
        <v>0</v>
      </c>
      <c r="H481" s="2"/>
    </row>
    <row r="482" spans="1:15" s="16" customFormat="1" ht="15.75" hidden="1" customHeight="1" x14ac:dyDescent="0.2">
      <c r="A482" s="66"/>
      <c r="B482" s="77" t="s">
        <v>630</v>
      </c>
      <c r="C482"/>
      <c r="D482"/>
      <c r="F482" s="208"/>
      <c r="G482" s="208"/>
      <c r="H482" s="69"/>
    </row>
    <row r="483" spans="1:15" s="16" customFormat="1" ht="15.75" hidden="1" customHeight="1" thickBot="1" x14ac:dyDescent="0.25">
      <c r="A483" s="66"/>
      <c r="B483" s="77"/>
      <c r="C483"/>
      <c r="D483"/>
      <c r="F483" s="209">
        <f>SUM(F480:F481)</f>
        <v>0</v>
      </c>
      <c r="G483" s="209">
        <f>SUM(G480:G482)</f>
        <v>44199</v>
      </c>
      <c r="H483" s="69"/>
    </row>
    <row r="484" spans="1:15" s="16" customFormat="1" ht="15.75" hidden="1" customHeight="1" x14ac:dyDescent="0.2">
      <c r="A484" s="78">
        <f>+A447+1</f>
        <v>26</v>
      </c>
      <c r="B484" s="78" t="s">
        <v>175</v>
      </c>
      <c r="E484" s="30"/>
      <c r="F484" s="27"/>
      <c r="G484" s="27"/>
      <c r="H484" s="69"/>
    </row>
    <row r="485" spans="1:15" s="16" customFormat="1" ht="70.5" hidden="1" customHeight="1" x14ac:dyDescent="0.2">
      <c r="A485" s="66"/>
      <c r="B485" s="515" t="s">
        <v>176</v>
      </c>
      <c r="C485" s="515"/>
      <c r="D485" s="515"/>
      <c r="E485" s="515"/>
      <c r="F485" s="515"/>
      <c r="G485" s="515"/>
      <c r="H485" s="515"/>
    </row>
    <row r="486" spans="1:15" s="16" customFormat="1" ht="15.75" customHeight="1" x14ac:dyDescent="0.2">
      <c r="A486" s="66"/>
      <c r="B486" s="66"/>
      <c r="E486" s="30"/>
      <c r="F486" s="27"/>
      <c r="G486" s="27"/>
      <c r="H486" s="69"/>
    </row>
    <row r="487" spans="1:15" s="16" customFormat="1" ht="15.75" customHeight="1" x14ac:dyDescent="0.2">
      <c r="A487" s="78">
        <f>A447+1</f>
        <v>26</v>
      </c>
      <c r="B487" s="78" t="s">
        <v>939</v>
      </c>
      <c r="E487" s="30"/>
      <c r="F487" s="27"/>
      <c r="G487" s="27"/>
      <c r="H487" s="69"/>
    </row>
    <row r="488" spans="1:15" s="16" customFormat="1" ht="15.75" customHeight="1" x14ac:dyDescent="0.2">
      <c r="A488" s="66"/>
      <c r="B488" s="66"/>
      <c r="E488" s="30"/>
      <c r="F488" s="27"/>
      <c r="G488" s="27"/>
      <c r="H488" s="69"/>
    </row>
    <row r="489" spans="1:15" s="16" customFormat="1" ht="15.75" customHeight="1" x14ac:dyDescent="0.2">
      <c r="A489" s="66"/>
      <c r="B489" s="66" t="s">
        <v>177</v>
      </c>
      <c r="E489" s="30"/>
      <c r="F489" s="27"/>
      <c r="G489" s="27"/>
      <c r="H489" s="69"/>
    </row>
    <row r="490" spans="1:15" s="16" customFormat="1" ht="15.75" customHeight="1" x14ac:dyDescent="0.2">
      <c r="A490" s="66"/>
      <c r="B490" s="66"/>
      <c r="E490" s="30"/>
      <c r="F490" s="27"/>
      <c r="G490" s="27"/>
      <c r="H490" s="69"/>
    </row>
    <row r="491" spans="1:15" s="16" customFormat="1" ht="15.75" customHeight="1" x14ac:dyDescent="0.2">
      <c r="A491" s="66"/>
      <c r="B491" s="19" t="s">
        <v>1258</v>
      </c>
      <c r="E491" s="30"/>
      <c r="F491" s="27"/>
      <c r="G491" s="27"/>
      <c r="H491" s="69"/>
    </row>
    <row r="492" spans="1:15" s="16" customFormat="1" ht="15.75" customHeight="1" x14ac:dyDescent="0.2">
      <c r="A492" s="66"/>
      <c r="B492" s="66"/>
      <c r="E492" s="30"/>
      <c r="F492" s="43">
        <f>'Comprehensive Income'!$C$5</f>
        <v>2023</v>
      </c>
      <c r="G492" s="43">
        <f>'Comprehensive Income'!$D$5</f>
        <v>2023</v>
      </c>
      <c r="H492" s="43">
        <f>'Comprehensive Income'!$E$5</f>
        <v>2022</v>
      </c>
    </row>
    <row r="493" spans="1:15" s="16" customFormat="1" ht="15.75" customHeight="1" x14ac:dyDescent="0.2">
      <c r="A493" s="66"/>
      <c r="B493" s="66"/>
      <c r="E493" s="30"/>
      <c r="F493" s="68" t="s">
        <v>606</v>
      </c>
      <c r="G493" s="68" t="s">
        <v>607</v>
      </c>
      <c r="H493" s="68" t="s">
        <v>606</v>
      </c>
    </row>
    <row r="494" spans="1:15" s="16" customFormat="1" ht="15.75" customHeight="1" x14ac:dyDescent="0.2">
      <c r="A494" s="66"/>
      <c r="B494" s="66"/>
      <c r="E494" s="30"/>
      <c r="F494" s="68"/>
      <c r="G494" s="73" t="s">
        <v>226</v>
      </c>
      <c r="H494" s="68"/>
    </row>
    <row r="495" spans="1:15" s="16" customFormat="1" ht="15.75" customHeight="1" x14ac:dyDescent="0.2">
      <c r="A495" s="66"/>
      <c r="B495" s="66"/>
      <c r="E495" s="30"/>
      <c r="F495" s="68" t="s">
        <v>605</v>
      </c>
      <c r="G495" s="68" t="s">
        <v>605</v>
      </c>
      <c r="H495" s="68" t="s">
        <v>605</v>
      </c>
      <c r="O495" s="16" t="s">
        <v>781</v>
      </c>
    </row>
    <row r="496" spans="1:15" s="16" customFormat="1" ht="15.75" customHeight="1" x14ac:dyDescent="0.2">
      <c r="A496" s="66"/>
      <c r="B496" s="66"/>
      <c r="E496" s="30"/>
      <c r="F496" s="27"/>
      <c r="G496" s="27"/>
      <c r="H496" s="69"/>
    </row>
    <row r="497" spans="1:10" s="16" customFormat="1" ht="15.75" customHeight="1" x14ac:dyDescent="0.2">
      <c r="A497" s="66"/>
      <c r="B497" s="66" t="s">
        <v>640</v>
      </c>
      <c r="E497" s="30"/>
      <c r="F497" s="27">
        <f>+F165</f>
        <v>206260</v>
      </c>
      <c r="G497" s="27">
        <f>+G165</f>
        <v>2159441</v>
      </c>
      <c r="H497" s="27">
        <f>+H165</f>
        <v>285191</v>
      </c>
      <c r="J497" s="141"/>
    </row>
    <row r="498" spans="1:10" s="16" customFormat="1" ht="15.75" customHeight="1" x14ac:dyDescent="0.2">
      <c r="A498" s="66"/>
      <c r="B498" s="66" t="s">
        <v>178</v>
      </c>
      <c r="E498" s="30"/>
      <c r="F498" s="27">
        <f>+F181</f>
        <v>2089334</v>
      </c>
      <c r="G498" s="27">
        <f>G181</f>
        <v>1812210</v>
      </c>
      <c r="H498" s="27">
        <f>H181</f>
        <v>1812210</v>
      </c>
      <c r="J498" s="141"/>
    </row>
    <row r="499" spans="1:10" s="16" customFormat="1" ht="15.75" customHeight="1" x14ac:dyDescent="0.2">
      <c r="A499" s="66"/>
      <c r="B499" s="66" t="s">
        <v>179</v>
      </c>
      <c r="E499" s="30"/>
      <c r="F499" s="27">
        <f>+F202+F206</f>
        <v>10616485</v>
      </c>
      <c r="G499" s="27">
        <f>G202</f>
        <v>6090750</v>
      </c>
      <c r="H499" s="27">
        <f>H202</f>
        <v>9090750</v>
      </c>
      <c r="J499" s="141"/>
    </row>
    <row r="500" spans="1:10" s="16" customFormat="1" ht="15.75" customHeight="1" x14ac:dyDescent="0.2">
      <c r="A500" s="66"/>
      <c r="B500" s="66"/>
      <c r="E500" s="30"/>
      <c r="F500" s="27"/>
      <c r="G500" s="27"/>
      <c r="H500" s="69"/>
    </row>
    <row r="501" spans="1:10" s="16" customFormat="1" ht="15.75" customHeight="1" thickBot="1" x14ac:dyDescent="0.25">
      <c r="A501" s="66"/>
      <c r="B501" s="66" t="s">
        <v>1748</v>
      </c>
      <c r="E501" s="30"/>
      <c r="F501" s="130">
        <f>SUM(F496:F499)</f>
        <v>12912079</v>
      </c>
      <c r="G501" s="130">
        <f>SUM(G496:G499)</f>
        <v>10062401</v>
      </c>
      <c r="H501" s="130">
        <f>SUM(H496:H499)</f>
        <v>11188151</v>
      </c>
    </row>
    <row r="502" spans="1:10" s="16" customFormat="1" ht="15.75" customHeight="1" thickTop="1" x14ac:dyDescent="0.2">
      <c r="A502" s="66"/>
      <c r="B502" s="66"/>
      <c r="E502" s="30"/>
      <c r="F502" s="27"/>
      <c r="G502" s="27"/>
      <c r="H502" s="69"/>
    </row>
    <row r="503" spans="1:10" s="16" customFormat="1" ht="15.75" customHeight="1" x14ac:dyDescent="0.2">
      <c r="A503" s="66"/>
      <c r="B503" s="19" t="s">
        <v>180</v>
      </c>
      <c r="E503" s="30"/>
      <c r="F503" s="27"/>
      <c r="G503" s="27"/>
      <c r="H503" s="69"/>
    </row>
    <row r="504" spans="1:10" s="16" customFormat="1" ht="15.75" customHeight="1" x14ac:dyDescent="0.2">
      <c r="A504" s="66"/>
      <c r="B504" s="66"/>
      <c r="E504" s="30"/>
      <c r="F504" s="27"/>
      <c r="G504" s="27"/>
      <c r="H504" s="69"/>
    </row>
    <row r="505" spans="1:10" s="16" customFormat="1" ht="15.75" customHeight="1" x14ac:dyDescent="0.2">
      <c r="A505" s="66"/>
      <c r="B505" s="66" t="s">
        <v>181</v>
      </c>
      <c r="E505" s="30"/>
      <c r="F505" s="27">
        <f>+F274</f>
        <v>1938480</v>
      </c>
      <c r="G505" s="27">
        <f>G274</f>
        <v>1421694</v>
      </c>
      <c r="H505" s="193">
        <f>+H274</f>
        <v>1421694</v>
      </c>
    </row>
    <row r="506" spans="1:10" s="16" customFormat="1" ht="15.75" hidden="1" customHeight="1" x14ac:dyDescent="0.2">
      <c r="A506" s="66"/>
      <c r="B506" s="66" t="s">
        <v>182</v>
      </c>
      <c r="E506" s="30"/>
      <c r="F506" s="132">
        <v>0</v>
      </c>
      <c r="G506" s="132">
        <v>0</v>
      </c>
      <c r="H506" s="132">
        <v>0</v>
      </c>
    </row>
    <row r="507" spans="1:10" s="16" customFormat="1" ht="15.75" customHeight="1" x14ac:dyDescent="0.2">
      <c r="A507" s="66"/>
      <c r="B507" s="66" t="s">
        <v>183</v>
      </c>
      <c r="E507" s="30"/>
      <c r="F507" s="132">
        <f>F324</f>
        <v>143078</v>
      </c>
      <c r="G507" s="132">
        <f>G324</f>
        <v>163411</v>
      </c>
      <c r="H507" s="132">
        <f>H324</f>
        <v>163411</v>
      </c>
    </row>
    <row r="508" spans="1:10" s="16" customFormat="1" ht="15.75" customHeight="1" x14ac:dyDescent="0.2">
      <c r="A508" s="66"/>
      <c r="B508" s="66"/>
      <c r="E508" s="30"/>
      <c r="F508" s="27"/>
      <c r="G508" s="27"/>
      <c r="H508" s="69"/>
    </row>
    <row r="509" spans="1:10" s="16" customFormat="1" ht="15.75" customHeight="1" thickBot="1" x14ac:dyDescent="0.25">
      <c r="A509" s="66"/>
      <c r="B509" s="66" t="s">
        <v>184</v>
      </c>
      <c r="E509" s="30"/>
      <c r="F509" s="130">
        <f>SUM(F505:F508)</f>
        <v>2081558</v>
      </c>
      <c r="G509" s="130">
        <f>SUM(G505:G508)</f>
        <v>1585105</v>
      </c>
      <c r="H509" s="130">
        <f>SUM(H505:H508)</f>
        <v>1585105</v>
      </c>
    </row>
    <row r="510" spans="1:10" s="16" customFormat="1" ht="15.75" customHeight="1" thickTop="1" x14ac:dyDescent="0.2">
      <c r="A510" s="66"/>
      <c r="B510" s="66"/>
      <c r="E510" s="30"/>
      <c r="F510" s="27"/>
      <c r="G510" s="27"/>
      <c r="H510" s="69"/>
    </row>
    <row r="511" spans="1:10" s="16" customFormat="1" ht="15.75" customHeight="1" x14ac:dyDescent="0.2">
      <c r="A511" s="66"/>
      <c r="B511" s="66"/>
      <c r="E511" s="30"/>
      <c r="F511" s="27"/>
      <c r="G511" s="27"/>
      <c r="H511" s="69"/>
    </row>
    <row r="512" spans="1:10" s="16" customFormat="1" ht="20.25" customHeight="1" x14ac:dyDescent="0.2">
      <c r="A512" s="78">
        <f>+A487+1</f>
        <v>27</v>
      </c>
      <c r="B512" s="78" t="s">
        <v>174</v>
      </c>
      <c r="E512" s="30"/>
      <c r="F512" s="27"/>
      <c r="G512" s="27"/>
      <c r="H512" s="69"/>
      <c r="J512" s="141"/>
    </row>
    <row r="513" spans="1:18" ht="53.25" hidden="1" customHeight="1" x14ac:dyDescent="0.2">
      <c r="B513" s="515" t="s">
        <v>1089</v>
      </c>
      <c r="C513" s="517"/>
      <c r="D513" s="517"/>
      <c r="E513" s="517"/>
      <c r="F513" s="517"/>
      <c r="G513" s="517"/>
      <c r="H513" s="517"/>
      <c r="I513" s="517"/>
      <c r="O513" s="16" t="s">
        <v>781</v>
      </c>
      <c r="R513" s="16" t="s">
        <v>781</v>
      </c>
    </row>
    <row r="514" spans="1:18" ht="2.25" hidden="1" customHeight="1" x14ac:dyDescent="0.2">
      <c r="B514" s="76"/>
    </row>
    <row r="515" spans="1:18" ht="45" hidden="1" customHeight="1" x14ac:dyDescent="0.2">
      <c r="B515" s="515" t="s">
        <v>1087</v>
      </c>
      <c r="C515" s="518"/>
      <c r="D515" s="518"/>
      <c r="E515" s="518"/>
      <c r="F515" s="518"/>
      <c r="G515" s="518"/>
      <c r="H515" s="518"/>
      <c r="I515" s="518"/>
    </row>
    <row r="516" spans="1:18" ht="3.75" hidden="1" customHeight="1" x14ac:dyDescent="0.2">
      <c r="B516" s="215"/>
      <c r="C516" s="217"/>
      <c r="D516" s="217"/>
      <c r="E516" s="217"/>
      <c r="F516" s="217"/>
      <c r="G516" s="217"/>
      <c r="H516" s="217"/>
      <c r="I516" s="217"/>
    </row>
    <row r="517" spans="1:18" ht="29.25" hidden="1" customHeight="1" x14ac:dyDescent="0.2">
      <c r="B517" s="515" t="s">
        <v>1088</v>
      </c>
      <c r="C517" s="515"/>
      <c r="D517" s="515"/>
      <c r="E517" s="515"/>
      <c r="F517" s="515"/>
      <c r="G517" s="515"/>
      <c r="H517" s="515"/>
      <c r="I517" s="515"/>
    </row>
    <row r="518" spans="1:18" ht="18" customHeight="1" x14ac:dyDescent="0.2">
      <c r="B518" s="519" t="s">
        <v>1092</v>
      </c>
      <c r="C518" s="519"/>
      <c r="D518" s="519"/>
      <c r="E518" s="519"/>
      <c r="F518" s="519"/>
      <c r="G518" s="519"/>
      <c r="H518" s="519"/>
      <c r="I518" s="519"/>
    </row>
    <row r="519" spans="1:18" ht="17.25" customHeight="1" x14ac:dyDescent="0.2">
      <c r="B519" s="215"/>
      <c r="C519" s="215"/>
      <c r="D519" s="215"/>
      <c r="E519" s="215"/>
      <c r="F519" s="215"/>
      <c r="G519" s="215"/>
      <c r="H519" s="215"/>
      <c r="I519" s="215"/>
    </row>
    <row r="520" spans="1:18" ht="79.5" hidden="1" customHeight="1" x14ac:dyDescent="0.2">
      <c r="B520" s="515" t="s">
        <v>1090</v>
      </c>
      <c r="C520" s="515"/>
      <c r="D520" s="515"/>
      <c r="E520" s="515"/>
      <c r="F520" s="515"/>
      <c r="G520" s="515"/>
      <c r="H520" s="515"/>
      <c r="I520" s="515"/>
    </row>
    <row r="521" spans="1:18" ht="9.75" hidden="1" customHeight="1" x14ac:dyDescent="0.2"/>
    <row r="522" spans="1:18" ht="15.75" hidden="1" customHeight="1" x14ac:dyDescent="0.2">
      <c r="A522" s="78">
        <v>30</v>
      </c>
      <c r="B522" s="78" t="s">
        <v>1068</v>
      </c>
      <c r="C522" s="16"/>
    </row>
    <row r="523" spans="1:18" ht="15.75" hidden="1" customHeight="1" x14ac:dyDescent="0.2">
      <c r="B523" s="515" t="s">
        <v>1069</v>
      </c>
      <c r="C523" s="515"/>
      <c r="D523" s="515"/>
      <c r="E523" s="515"/>
      <c r="F523" s="515"/>
      <c r="G523" s="515"/>
      <c r="H523" s="515"/>
      <c r="I523" s="515"/>
      <c r="J523" s="51"/>
      <c r="K523" s="47"/>
      <c r="L523" s="47"/>
      <c r="M523" s="47"/>
    </row>
    <row r="524" spans="1:18" ht="15.75" hidden="1" customHeight="1" x14ac:dyDescent="0.2">
      <c r="B524" s="515"/>
      <c r="C524" s="515"/>
      <c r="D524" s="515"/>
      <c r="E524" s="515"/>
      <c r="F524" s="515"/>
      <c r="G524" s="515"/>
      <c r="H524" s="515"/>
      <c r="I524" s="515"/>
      <c r="J524" s="47"/>
      <c r="K524" s="47"/>
      <c r="L524" s="47"/>
      <c r="M524" s="47"/>
    </row>
    <row r="525" spans="1:18" ht="49.5" hidden="1" customHeight="1" x14ac:dyDescent="0.2">
      <c r="B525" s="515"/>
      <c r="C525" s="515"/>
      <c r="D525" s="515"/>
      <c r="E525" s="515"/>
      <c r="F525" s="515"/>
      <c r="G525" s="515"/>
      <c r="H525" s="515"/>
      <c r="I525" s="515"/>
      <c r="J525" s="47"/>
      <c r="K525" s="47"/>
      <c r="L525" s="47"/>
      <c r="M525" s="47"/>
    </row>
    <row r="526" spans="1:18" ht="29.25" hidden="1" customHeight="1" x14ac:dyDescent="0.2">
      <c r="B526" s="515" t="s">
        <v>1066</v>
      </c>
      <c r="C526" s="515"/>
      <c r="D526" s="515"/>
      <c r="E526" s="515"/>
      <c r="F526" s="515"/>
      <c r="G526" s="515"/>
      <c r="H526" s="515"/>
      <c r="I526" s="515"/>
      <c r="J526" s="47"/>
      <c r="K526" s="47"/>
      <c r="L526" s="47"/>
      <c r="M526" s="47"/>
    </row>
    <row r="527" spans="1:18" ht="9.75" hidden="1" customHeight="1" x14ac:dyDescent="0.2">
      <c r="B527" s="66"/>
      <c r="J527" s="47"/>
      <c r="K527" s="47"/>
      <c r="L527" s="47"/>
      <c r="M527" s="47"/>
    </row>
    <row r="528" spans="1:18" ht="15.75" hidden="1" customHeight="1" x14ac:dyDescent="0.2">
      <c r="B528" s="66" t="s">
        <v>1067</v>
      </c>
    </row>
    <row r="529" spans="1:2" ht="15.75" hidden="1" customHeight="1" x14ac:dyDescent="0.2"/>
    <row r="530" spans="1:2" ht="15.75" hidden="1" customHeight="1" x14ac:dyDescent="0.2"/>
    <row r="531" spans="1:2" ht="15.75" hidden="1" customHeight="1" x14ac:dyDescent="0.2"/>
    <row r="532" spans="1:2" ht="15.75" customHeight="1" x14ac:dyDescent="0.2">
      <c r="A532" s="78">
        <v>28</v>
      </c>
      <c r="B532" s="78" t="s">
        <v>1749</v>
      </c>
    </row>
    <row r="533" spans="1:2" ht="5.25" customHeight="1" x14ac:dyDescent="0.2">
      <c r="B533" s="66"/>
    </row>
    <row r="534" spans="1:2" ht="15.75" customHeight="1" x14ac:dyDescent="0.2">
      <c r="B534" s="66" t="s">
        <v>1750</v>
      </c>
    </row>
  </sheetData>
  <customSheetViews>
    <customSheetView guid="{2F1C2500-C7E9-11D7-BAB9-00065B3658C6}" showGridLines="0" showRuler="0" topLeftCell="A195">
      <selection activeCell="B227" sqref="B227"/>
      <rowBreaks count="5" manualBreakCount="5">
        <brk id="54" max="16383" man="1"/>
        <brk id="110" max="9" man="1"/>
        <brk id="117" max="16383" man="1"/>
        <brk id="173" max="16383" man="1"/>
        <brk id="229" max="16383" man="1"/>
      </rowBreaks>
      <pageMargins left="0.25" right="0.25" top="0.5" bottom="0.5" header="0.511811023622047" footer="0.511811023622047"/>
      <pageSetup paperSize="9" orientation="portrait" verticalDpi="0" r:id="rId1"/>
      <headerFooter alignWithMargins="0"/>
    </customSheetView>
    <customSheetView guid="{16158AC0-BDC0-11D7-BABA-AD30328A5118}" showPageBreaks="1" showGridLines="0" printArea="1" showRuler="0" topLeftCell="A216">
      <selection activeCell="B227" sqref="B227"/>
      <rowBreaks count="5" manualBreakCount="5">
        <brk id="54" max="16383" man="1"/>
        <brk id="110" max="9" man="1"/>
        <brk id="117" max="16383" man="1"/>
        <brk id="173" max="16383" man="1"/>
        <brk id="229" max="16383" man="1"/>
      </rowBreaks>
      <pageMargins left="0.25" right="0.25" top="0.5" bottom="0.5" header="0.511811023622047" footer="0.511811023622047"/>
      <pageSetup paperSize="9" orientation="portrait" verticalDpi="0" r:id="rId2"/>
      <headerFooter alignWithMargins="0"/>
    </customSheetView>
  </customSheetViews>
  <mergeCells count="34">
    <mergeCell ref="B371:H371"/>
    <mergeCell ref="B438:I439"/>
    <mergeCell ref="B141:H142"/>
    <mergeCell ref="B424:H426"/>
    <mergeCell ref="B445:H445"/>
    <mergeCell ref="K17:M17"/>
    <mergeCell ref="B396:G397"/>
    <mergeCell ref="B332:H332"/>
    <mergeCell ref="G342:G350"/>
    <mergeCell ref="B169:H169"/>
    <mergeCell ref="B310:H310"/>
    <mergeCell ref="B367:H367"/>
    <mergeCell ref="B368:H368"/>
    <mergeCell ref="G333:G335"/>
    <mergeCell ref="B239:I239"/>
    <mergeCell ref="B366:H366"/>
    <mergeCell ref="B379:G380"/>
    <mergeCell ref="B202:E202"/>
    <mergeCell ref="B238:H238"/>
    <mergeCell ref="B369:H369"/>
    <mergeCell ref="B456:H456"/>
    <mergeCell ref="B485:H485"/>
    <mergeCell ref="B450:I450"/>
    <mergeCell ref="B526:I526"/>
    <mergeCell ref="B523:I525"/>
    <mergeCell ref="B513:I513"/>
    <mergeCell ref="B515:I515"/>
    <mergeCell ref="B517:I517"/>
    <mergeCell ref="B520:I520"/>
    <mergeCell ref="B518:I518"/>
    <mergeCell ref="B455:H455"/>
    <mergeCell ref="B451:I451"/>
    <mergeCell ref="B453:I453"/>
    <mergeCell ref="B452:I452"/>
  </mergeCells>
  <phoneticPr fontId="30" type="noConversion"/>
  <pageMargins left="0.39370078740157483" right="0.39370078740157483" top="0.74803149606299213" bottom="0.74803149606299213" header="0.31496062992125984" footer="0.31496062992125984"/>
  <pageSetup paperSize="9" scale="65" firstPageNumber="6" orientation="portrait" cellComments="asDisplayed" r:id="rId3"/>
  <headerFooter>
    <oddHeader>&amp;R&amp;G</oddHeader>
    <oddFooter>&amp;RPage &amp;P</oddFooter>
  </headerFooter>
  <rowBreaks count="7" manualBreakCount="7">
    <brk id="66" max="8" man="1"/>
    <brk id="122" max="8" man="1"/>
    <brk id="210" max="8" man="1"/>
    <brk id="285" max="8" man="1"/>
    <brk id="329" max="8" man="1"/>
    <brk id="374" max="8" man="1"/>
    <brk id="440" max="8" man="1"/>
  </rowBreaks>
  <ignoredErrors>
    <ignoredError sqref="F403:G40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2:B9"/>
  <sheetViews>
    <sheetView zoomScaleNormal="100" zoomScaleSheetLayoutView="100" workbookViewId="0">
      <selection activeCell="I44" sqref="I44"/>
    </sheetView>
  </sheetViews>
  <sheetFormatPr defaultColWidth="9.140625" defaultRowHeight="12.75" x14ac:dyDescent="0.2"/>
  <cols>
    <col min="1" max="1" width="2.28515625" style="16" customWidth="1"/>
    <col min="2" max="2" width="97.42578125" style="16" customWidth="1"/>
    <col min="3" max="16384" width="9.140625" style="16"/>
  </cols>
  <sheetData>
    <row r="2" spans="2:2" s="6" customFormat="1" ht="23.25" x14ac:dyDescent="0.35">
      <c r="B2" s="7" t="s">
        <v>1643</v>
      </c>
    </row>
    <row r="4" spans="2:2" x14ac:dyDescent="0.2">
      <c r="B4" s="339" t="s">
        <v>1709</v>
      </c>
    </row>
    <row r="5" spans="2:2" ht="27.75" x14ac:dyDescent="0.2">
      <c r="B5" s="340" t="s">
        <v>1644</v>
      </c>
    </row>
    <row r="6" spans="2:2" ht="27.75" x14ac:dyDescent="0.2">
      <c r="B6" s="340" t="s">
        <v>1645</v>
      </c>
    </row>
    <row r="7" spans="2:2" ht="27.75" x14ac:dyDescent="0.2">
      <c r="B7" s="340" t="s">
        <v>1646</v>
      </c>
    </row>
    <row r="8" spans="2:2" ht="27.75" x14ac:dyDescent="0.2">
      <c r="B8" s="340" t="s">
        <v>1647</v>
      </c>
    </row>
    <row r="9" spans="2:2" ht="15" x14ac:dyDescent="0.25">
      <c r="B9" s="340" t="s">
        <v>1648</v>
      </c>
    </row>
  </sheetData>
  <pageMargins left="0.39370078740157483" right="0.39370078740157483" top="0.74803149606299213" bottom="0.74803149606299213" header="0.31496062992125984" footer="0.31496062992125984"/>
  <pageSetup paperSize="9" scale="89" firstPageNumber="6" fitToHeight="0" orientation="portrait" cellComments="asDisplayed" r:id="rId1"/>
  <headerFooter>
    <oddHeader>&amp;R&amp;G</oddHeader>
    <oddFooter>&amp;RPage &amp;P</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41"/>
  <sheetViews>
    <sheetView zoomScaleNormal="100" zoomScaleSheetLayoutView="100" workbookViewId="0">
      <selection activeCell="I103" sqref="I102:I103"/>
    </sheetView>
  </sheetViews>
  <sheetFormatPr defaultColWidth="9.140625" defaultRowHeight="15" x14ac:dyDescent="0.25"/>
  <cols>
    <col min="1" max="1" width="2.7109375" style="223" customWidth="1"/>
    <col min="2" max="2" width="3" style="223" customWidth="1"/>
    <col min="3" max="3" width="71.140625" style="223" customWidth="1"/>
    <col min="4" max="4" width="12.140625" style="226" customWidth="1"/>
    <col min="5" max="5" width="12" style="226" customWidth="1"/>
    <col min="6" max="6" width="9.140625" style="226"/>
    <col min="7" max="7" width="9.140625" style="229"/>
    <col min="8" max="16384" width="9.140625" style="223"/>
  </cols>
  <sheetData>
    <row r="1" spans="1:8" s="221" customFormat="1" ht="21" x14ac:dyDescent="0.35">
      <c r="A1" s="282" t="str">
        <f>CONCATENATE(Header!A2," -",Data!B1,"-")</f>
        <v>Blind and Low Vision Education Network NZ -952-</v>
      </c>
      <c r="D1" s="222"/>
      <c r="E1" s="222"/>
      <c r="F1" s="222"/>
      <c r="G1" s="228"/>
    </row>
    <row r="2" spans="1:8" s="221" customFormat="1" ht="21" x14ac:dyDescent="0.35">
      <c r="D2" s="283"/>
      <c r="E2" s="283" t="s">
        <v>1216</v>
      </c>
      <c r="F2" s="222"/>
      <c r="G2" s="228"/>
    </row>
    <row r="4" spans="1:8" x14ac:dyDescent="0.25">
      <c r="D4" s="224">
        <f>Data!B2</f>
        <v>2023</v>
      </c>
      <c r="E4" s="224">
        <f>D4</f>
        <v>2023</v>
      </c>
      <c r="F4" s="224"/>
    </row>
    <row r="5" spans="1:8" x14ac:dyDescent="0.25">
      <c r="D5" s="225" t="s">
        <v>606</v>
      </c>
      <c r="E5" s="225" t="s">
        <v>607</v>
      </c>
      <c r="F5" s="225"/>
      <c r="G5" s="229" t="s">
        <v>647</v>
      </c>
    </row>
    <row r="6" spans="1:8" x14ac:dyDescent="0.25">
      <c r="A6" s="223" t="s">
        <v>76</v>
      </c>
    </row>
    <row r="7" spans="1:8" x14ac:dyDescent="0.25">
      <c r="B7" s="223" t="s">
        <v>1215</v>
      </c>
      <c r="D7" s="227">
        <f>'Comprehensive Income'!C10</f>
        <v>27093418</v>
      </c>
      <c r="E7" s="227">
        <f>'Comprehensive Income'!D10</f>
        <v>23783107</v>
      </c>
    </row>
    <row r="8" spans="1:8" x14ac:dyDescent="0.25">
      <c r="C8" s="284" t="s">
        <v>1156</v>
      </c>
      <c r="D8" s="227">
        <f>ROUND(HLOOKUP("start",ESLData!E$1:E$9960,MATCH($G8,ESLData!$B$1:$B$9960,0)),0)</f>
        <v>-13679767</v>
      </c>
      <c r="E8" s="227">
        <f>ROUND(HLOOKUP("start",ESLData!F$1:F$9960,MATCH($G8,ESLData!$B$1:$B$9960,0)),0)</f>
        <v>-12500000</v>
      </c>
      <c r="G8" s="230">
        <v>10290</v>
      </c>
      <c r="H8" s="227" t="str">
        <f>HLOOKUP("start",ESLData!C$1:C$9960,MATCH($G8,ESLData!$B$1:$B$9960,0))</f>
        <v>Teachers Salaries Grant</v>
      </c>
    </row>
    <row r="9" spans="1:8" x14ac:dyDescent="0.25">
      <c r="C9" s="284" t="s">
        <v>1217</v>
      </c>
      <c r="D9" s="227">
        <f>ROUND(HLOOKUP("start",ESLData!E$1:E$9960,MATCH($G9,ESLData!$B$1:$B$9960,0)),0)</f>
        <v>-2193217</v>
      </c>
      <c r="E9" s="227">
        <f>ROUND(HLOOKUP("start",ESLData!F$1:F$9960,MATCH($G9,ESLData!$B$1:$B$9960,0)),0)</f>
        <v>-1420415</v>
      </c>
      <c r="G9" s="230">
        <v>1900</v>
      </c>
      <c r="H9" s="227" t="str">
        <f>HLOOKUP("start",ESLData!C$1:C$9960,MATCH($G9,ESLData!$B$1:$B$9960,0))</f>
        <v>Use of Land and Buildings</v>
      </c>
    </row>
    <row r="10" spans="1:8" x14ac:dyDescent="0.25">
      <c r="C10" s="284" t="s">
        <v>1157</v>
      </c>
      <c r="D10" s="227">
        <f>ROUND(HLOOKUP("start",ESLData!E$1:E$9960,MATCH($G10,ESLData!$B$1:$B$9960,0)),0)</f>
        <v>815</v>
      </c>
      <c r="E10" s="227">
        <f>ROUND(HLOOKUP("start",ESLData!F$1:F$9960,MATCH($G10,ESLData!$B$1:$B$9960,0)),0)</f>
        <v>0</v>
      </c>
      <c r="G10" s="230">
        <v>146</v>
      </c>
      <c r="H10" s="227" t="str">
        <f>HLOOKUP("start",ESLData!C$1:C$9960,MATCH($G10,ESLData!$B$1:$B$9960,0))</f>
        <v>Risk Management Premium</v>
      </c>
    </row>
    <row r="11" spans="1:8" x14ac:dyDescent="0.25">
      <c r="C11" s="284" t="s">
        <v>1158</v>
      </c>
      <c r="D11" s="227">
        <f>ROUND(HLOOKUP("start",ESLData!E$1:E$9960,MATCH($G11,ESLData!$B$1:$B$9960,0)),0)</f>
        <v>-38868</v>
      </c>
      <c r="E11" s="227">
        <f>ROUND(HLOOKUP("start",ESLData!F$1:F$9960,MATCH($G11,ESLData!$B$1:$B$9960,0)),0)</f>
        <v>0</v>
      </c>
      <c r="G11" s="230">
        <v>149</v>
      </c>
      <c r="H11" s="227" t="str">
        <f>HLOOKUP("start",ESLData!C$1:C$9960,MATCH($G11,ESLData!$B$1:$B$9960,0))</f>
        <v>TRL Lease MOE Portion Finance</v>
      </c>
    </row>
    <row r="12" spans="1:8" x14ac:dyDescent="0.25">
      <c r="C12" s="284" t="s">
        <v>1159</v>
      </c>
      <c r="D12" s="226">
        <v>0</v>
      </c>
    </row>
    <row r="13" spans="1:8" x14ac:dyDescent="0.25">
      <c r="C13" s="284" t="s">
        <v>1160</v>
      </c>
      <c r="D13" s="226">
        <v>0</v>
      </c>
    </row>
    <row r="14" spans="1:8" x14ac:dyDescent="0.25">
      <c r="C14" s="284" t="s">
        <v>1147</v>
      </c>
      <c r="D14" s="226">
        <f>'Cashflow Workpaper 2022'!D15*-1</f>
        <v>493697</v>
      </c>
      <c r="E14" s="226">
        <v>0</v>
      </c>
      <c r="H14" s="378"/>
    </row>
    <row r="15" spans="1:8" x14ac:dyDescent="0.25">
      <c r="C15" s="284" t="s">
        <v>1148</v>
      </c>
      <c r="D15" s="226">
        <f>-415599-130036</f>
        <v>-545635</v>
      </c>
    </row>
    <row r="16" spans="1:8" x14ac:dyDescent="0.25">
      <c r="C16" s="284" t="s">
        <v>1149</v>
      </c>
      <c r="D16" s="227">
        <f>ROUND(HLOOKUP("start",ESLData!H$1:H$9960,MATCH($G16,ESLData!$B$1:$B$9960,0)),0)</f>
        <v>0</v>
      </c>
      <c r="E16" s="227"/>
      <c r="G16" s="230">
        <v>9317</v>
      </c>
      <c r="H16" s="227" t="str">
        <f>HLOOKUP("start",ESLData!C$1:C$9960,MATCH($G16,ESLData!$B$1:$B$9960,0))</f>
        <v>Banking Staffing Overuse</v>
      </c>
    </row>
    <row r="17" spans="2:8" x14ac:dyDescent="0.25">
      <c r="C17" s="284" t="s">
        <v>1150</v>
      </c>
      <c r="D17" s="227">
        <f>ROUND(HLOOKUP("start",ESLData!E$1:E$9960,MATCH($G17,ESLData!$B$1:$B$9960,0)),0)</f>
        <v>0</v>
      </c>
      <c r="E17" s="227"/>
      <c r="G17" s="230">
        <v>9317</v>
      </c>
      <c r="H17" s="227" t="str">
        <f>HLOOKUP("start",ESLData!C$1:C$9960,MATCH($G17,ESLData!$B$1:$B$9960,0))</f>
        <v>Banking Staffing Overuse</v>
      </c>
    </row>
    <row r="18" spans="2:8" x14ac:dyDescent="0.25">
      <c r="C18" s="284" t="s">
        <v>1151</v>
      </c>
      <c r="D18" s="227">
        <f>'Cashflow Workpaper 2022'!D19</f>
        <v>0</v>
      </c>
      <c r="E18" s="227"/>
      <c r="G18" s="230">
        <v>9328</v>
      </c>
      <c r="H18" s="227" t="str">
        <f>HLOOKUP("start",ESLData!C$1:C$9960,MATCH($G18,ESLData!$B$1:$B$9960,0))</f>
        <v>Grants in Advance</v>
      </c>
    </row>
    <row r="19" spans="2:8" x14ac:dyDescent="0.25">
      <c r="C19" s="284" t="s">
        <v>1152</v>
      </c>
      <c r="D19" s="227">
        <f>-HLOOKUP("start",ESLData!E$1:E$9960,MATCH($G19,ESLData!$B$1:$B$9960,0))</f>
        <v>52868.98</v>
      </c>
      <c r="E19" s="227"/>
      <c r="G19" s="230">
        <v>9328</v>
      </c>
      <c r="H19" s="227" t="str">
        <f>HLOOKUP("start",ESLData!C$1:C$9960,MATCH($G19,ESLData!$B$1:$B$9960,0))</f>
        <v>Grants in Advance</v>
      </c>
    </row>
    <row r="20" spans="2:8" x14ac:dyDescent="0.25">
      <c r="C20" s="284" t="s">
        <v>1153</v>
      </c>
      <c r="D20" s="226">
        <v>0</v>
      </c>
    </row>
    <row r="21" spans="2:8" x14ac:dyDescent="0.25">
      <c r="C21" s="284" t="s">
        <v>1154</v>
      </c>
      <c r="D21" s="226">
        <v>0</v>
      </c>
    </row>
    <row r="22" spans="2:8" x14ac:dyDescent="0.25">
      <c r="C22" s="284" t="s">
        <v>1155</v>
      </c>
      <c r="D22" s="226">
        <v>0</v>
      </c>
    </row>
    <row r="23" spans="2:8" hidden="1" x14ac:dyDescent="0.25"/>
    <row r="24" spans="2:8" hidden="1" x14ac:dyDescent="0.25"/>
    <row r="25" spans="2:8" hidden="1" x14ac:dyDescent="0.25"/>
    <row r="26" spans="2:8" hidden="1" x14ac:dyDescent="0.25"/>
    <row r="27" spans="2:8" hidden="1" x14ac:dyDescent="0.25"/>
    <row r="28" spans="2:8" hidden="1" x14ac:dyDescent="0.25"/>
    <row r="29" spans="2:8" hidden="1" x14ac:dyDescent="0.25"/>
    <row r="30" spans="2:8" x14ac:dyDescent="0.25">
      <c r="D30" s="281">
        <f>SUM(D7:D29)</f>
        <v>11183311.98</v>
      </c>
      <c r="E30" s="281">
        <f>SUM(E7:E29)</f>
        <v>9862692</v>
      </c>
    </row>
    <row r="32" spans="2:8" x14ac:dyDescent="0.25">
      <c r="B32" s="223" t="s">
        <v>1161</v>
      </c>
      <c r="D32" s="227">
        <f>'Comprehensive Income'!C11</f>
        <v>192704</v>
      </c>
      <c r="E32" s="227">
        <f>'Comprehensive Income'!D11</f>
        <v>169850</v>
      </c>
    </row>
    <row r="33" spans="3:8" x14ac:dyDescent="0.25">
      <c r="C33" s="223" t="s">
        <v>1162</v>
      </c>
      <c r="D33" s="227">
        <f>'Comprehensive Income'!C14</f>
        <v>497</v>
      </c>
      <c r="E33" s="227">
        <f>'Comprehensive Income'!D14</f>
        <v>0</v>
      </c>
    </row>
    <row r="34" spans="3:8" x14ac:dyDescent="0.25">
      <c r="C34" s="223" t="s">
        <v>1219</v>
      </c>
      <c r="D34" s="227">
        <f>ROUND(HLOOKUP("start",ESLData!E$1:E$9960,MATCH($G34,ESLData!$B$1:$B$9960,0)),0)</f>
        <v>0</v>
      </c>
      <c r="E34" s="227">
        <f>ROUND(HLOOKUP("start",ESLData!F$1:F$9960,MATCH($G34,ESLData!$B$1:$B$9960,0)),0)</f>
        <v>0</v>
      </c>
      <c r="G34" s="264">
        <v>10665</v>
      </c>
      <c r="H34" s="227" t="str">
        <f>HLOOKUP("start",ESLData!C$1:C$9960,MATCH($G34,ESLData!$B$1:$B$9960,0))</f>
        <v>Donated Assets</v>
      </c>
    </row>
    <row r="35" spans="3:8" x14ac:dyDescent="0.25">
      <c r="C35" s="223" t="s">
        <v>1214</v>
      </c>
      <c r="D35" s="226">
        <v>0</v>
      </c>
    </row>
    <row r="36" spans="3:8" x14ac:dyDescent="0.25">
      <c r="C36" s="321" t="s">
        <v>1163</v>
      </c>
      <c r="D36" s="226">
        <f>'Cashflow Workpaper 2022'!D37*-1</f>
        <v>-51304.539999999994</v>
      </c>
    </row>
    <row r="37" spans="3:8" x14ac:dyDescent="0.25">
      <c r="C37" s="223" t="s">
        <v>1164</v>
      </c>
      <c r="D37" s="226">
        <v>51365</v>
      </c>
    </row>
    <row r="38" spans="3:8" x14ac:dyDescent="0.25">
      <c r="C38" s="223" t="s">
        <v>1165</v>
      </c>
      <c r="D38" s="226">
        <f>'Cashflow Workpaper 2022'!D39*-1</f>
        <v>248983</v>
      </c>
    </row>
    <row r="39" spans="3:8" x14ac:dyDescent="0.25">
      <c r="C39" s="223" t="s">
        <v>1166</v>
      </c>
      <c r="D39" s="226">
        <v>-57300</v>
      </c>
      <c r="G39" s="260"/>
    </row>
    <row r="40" spans="3:8" hidden="1" x14ac:dyDescent="0.25"/>
    <row r="41" spans="3:8" hidden="1" x14ac:dyDescent="0.25"/>
    <row r="42" spans="3:8" hidden="1" x14ac:dyDescent="0.25"/>
    <row r="43" spans="3:8" hidden="1" x14ac:dyDescent="0.25"/>
    <row r="44" spans="3:8" hidden="1" x14ac:dyDescent="0.25"/>
    <row r="45" spans="3:8" hidden="1" x14ac:dyDescent="0.25"/>
    <row r="46" spans="3:8" hidden="1" x14ac:dyDescent="0.25"/>
    <row r="47" spans="3:8" hidden="1" x14ac:dyDescent="0.25"/>
    <row r="48" spans="3:8" hidden="1" x14ac:dyDescent="0.25"/>
    <row r="49" spans="2:13" hidden="1" x14ac:dyDescent="0.25"/>
    <row r="50" spans="2:13" x14ac:dyDescent="0.25">
      <c r="D50" s="281">
        <f>SUM(D32:D49)</f>
        <v>384944.46</v>
      </c>
      <c r="E50" s="281">
        <f>SUM(E32:E49)</f>
        <v>169850</v>
      </c>
    </row>
    <row r="52" spans="2:13" x14ac:dyDescent="0.25">
      <c r="B52" s="223" t="s">
        <v>1167</v>
      </c>
      <c r="D52" s="226">
        <v>0</v>
      </c>
      <c r="E52" s="226">
        <v>0</v>
      </c>
    </row>
    <row r="53" spans="2:13" x14ac:dyDescent="0.25">
      <c r="C53" s="223" t="s">
        <v>1213</v>
      </c>
      <c r="D53" s="226">
        <v>0</v>
      </c>
      <c r="E53" s="226">
        <v>0</v>
      </c>
    </row>
    <row r="54" spans="2:13" x14ac:dyDescent="0.25">
      <c r="C54" s="223" t="s">
        <v>1211</v>
      </c>
      <c r="D54" s="226">
        <v>0</v>
      </c>
      <c r="E54" s="226">
        <v>0</v>
      </c>
    </row>
    <row r="55" spans="2:13" hidden="1" x14ac:dyDescent="0.25"/>
    <row r="56" spans="2:13" hidden="1" x14ac:dyDescent="0.25"/>
    <row r="57" spans="2:13" hidden="1" x14ac:dyDescent="0.25"/>
    <row r="58" spans="2:13" hidden="1" x14ac:dyDescent="0.25"/>
    <row r="59" spans="2:13" hidden="1" x14ac:dyDescent="0.25"/>
    <row r="60" spans="2:13" x14ac:dyDescent="0.25">
      <c r="D60" s="281">
        <f>SUM(D52:D59)</f>
        <v>0</v>
      </c>
      <c r="E60" s="281">
        <f>SUM(E52:E59)</f>
        <v>0</v>
      </c>
    </row>
    <row r="62" spans="2:13" x14ac:dyDescent="0.25">
      <c r="B62" s="223" t="s">
        <v>1168</v>
      </c>
      <c r="D62" s="226">
        <v>0</v>
      </c>
      <c r="E62" s="226">
        <v>0</v>
      </c>
    </row>
    <row r="63" spans="2:13" x14ac:dyDescent="0.25">
      <c r="C63" s="223" t="s">
        <v>1212</v>
      </c>
      <c r="D63" s="226">
        <v>0</v>
      </c>
      <c r="E63" s="226">
        <v>0</v>
      </c>
      <c r="M63" s="223" t="s">
        <v>1471</v>
      </c>
    </row>
    <row r="64" spans="2:13" x14ac:dyDescent="0.25">
      <c r="C64" s="223" t="s">
        <v>1211</v>
      </c>
      <c r="D64" s="226">
        <v>0</v>
      </c>
      <c r="E64" s="226">
        <v>0</v>
      </c>
    </row>
    <row r="65" spans="2:6" x14ac:dyDescent="0.25">
      <c r="C65" s="223" t="s">
        <v>1210</v>
      </c>
      <c r="D65" s="226">
        <v>0</v>
      </c>
      <c r="E65" s="226">
        <v>0</v>
      </c>
    </row>
    <row r="66" spans="2:6" x14ac:dyDescent="0.25">
      <c r="C66" s="223" t="s">
        <v>1209</v>
      </c>
      <c r="D66" s="226">
        <v>0</v>
      </c>
      <c r="E66" s="226">
        <v>0</v>
      </c>
    </row>
    <row r="67" spans="2:6" hidden="1" x14ac:dyDescent="0.25">
      <c r="E67" s="226">
        <v>0</v>
      </c>
    </row>
    <row r="68" spans="2:6" hidden="1" x14ac:dyDescent="0.25">
      <c r="E68" s="226">
        <v>0</v>
      </c>
    </row>
    <row r="69" spans="2:6" hidden="1" x14ac:dyDescent="0.25">
      <c r="E69" s="226">
        <v>0</v>
      </c>
    </row>
    <row r="70" spans="2:6" x14ac:dyDescent="0.25">
      <c r="D70" s="281">
        <f>SUM(D62:D69)</f>
        <v>0</v>
      </c>
      <c r="E70" s="281">
        <f>SUM(E62:E69)</f>
        <v>0</v>
      </c>
    </row>
    <row r="72" spans="2:6" x14ac:dyDescent="0.25">
      <c r="B72" s="223" t="s">
        <v>1169</v>
      </c>
      <c r="D72" s="227">
        <f>'Financial Position'!E13-'Financial Position'!C13</f>
        <v>-4394</v>
      </c>
      <c r="E72" s="227">
        <v>0</v>
      </c>
    </row>
    <row r="73" spans="2:6" x14ac:dyDescent="0.25">
      <c r="C73" s="279" t="s">
        <v>1476</v>
      </c>
      <c r="F73" s="265"/>
    </row>
    <row r="74" spans="2:6" hidden="1" x14ac:dyDescent="0.25"/>
    <row r="75" spans="2:6" hidden="1" x14ac:dyDescent="0.25"/>
    <row r="76" spans="2:6" hidden="1" x14ac:dyDescent="0.25"/>
    <row r="77" spans="2:6" hidden="1" x14ac:dyDescent="0.25"/>
    <row r="78" spans="2:6" hidden="1" x14ac:dyDescent="0.25"/>
    <row r="79" spans="2:6" hidden="1" x14ac:dyDescent="0.25"/>
    <row r="80" spans="2:6" x14ac:dyDescent="0.25">
      <c r="D80" s="281">
        <f>SUM(D72:D79)</f>
        <v>-4394</v>
      </c>
      <c r="E80" s="281">
        <f>SUM(E72:E79)</f>
        <v>0</v>
      </c>
    </row>
    <row r="82" spans="2:9" hidden="1" x14ac:dyDescent="0.25">
      <c r="B82" s="223" t="s">
        <v>1170</v>
      </c>
      <c r="D82" s="226">
        <v>0</v>
      </c>
      <c r="E82" s="226">
        <v>0</v>
      </c>
    </row>
    <row r="83" spans="2:9" hidden="1" x14ac:dyDescent="0.25">
      <c r="C83" s="223" t="s">
        <v>1188</v>
      </c>
      <c r="D83" s="226">
        <v>0</v>
      </c>
    </row>
    <row r="84" spans="2:9" hidden="1" x14ac:dyDescent="0.25">
      <c r="C84" s="223" t="s">
        <v>1208</v>
      </c>
      <c r="D84" s="226">
        <v>0</v>
      </c>
    </row>
    <row r="85" spans="2:9" hidden="1" x14ac:dyDescent="0.25">
      <c r="C85" s="223" t="s">
        <v>1186</v>
      </c>
      <c r="D85" s="226">
        <v>0</v>
      </c>
    </row>
    <row r="86" spans="2:9" hidden="1" x14ac:dyDescent="0.25">
      <c r="C86" s="223" t="s">
        <v>1185</v>
      </c>
      <c r="D86" s="226">
        <v>0</v>
      </c>
    </row>
    <row r="87" spans="2:9" hidden="1" x14ac:dyDescent="0.25">
      <c r="D87" s="281">
        <f>SUM(D82:D86)</f>
        <v>0</v>
      </c>
      <c r="E87" s="281">
        <f>SUM(E82:E86)</f>
        <v>0</v>
      </c>
    </row>
    <row r="88" spans="2:9" hidden="1" x14ac:dyDescent="0.25"/>
    <row r="89" spans="2:9" hidden="1" x14ac:dyDescent="0.25"/>
    <row r="91" spans="2:9" x14ac:dyDescent="0.25">
      <c r="B91" s="223" t="s">
        <v>1171</v>
      </c>
      <c r="D91" s="227">
        <f>-Notes!F49-Notes!F61-Notes!F74-Notes!F86-Notes!F98-Notes!F118-Notes!F137</f>
        <v>-18751702</v>
      </c>
      <c r="E91" s="227">
        <f>-Notes!G49-Notes!G61-Notes!G74-Notes!G86-Notes!G98-Notes!G118-Notes!G137</f>
        <v>-17719076</v>
      </c>
    </row>
    <row r="92" spans="2:9" x14ac:dyDescent="0.25">
      <c r="C92" s="223" t="s">
        <v>1156</v>
      </c>
      <c r="D92" s="227">
        <f>ROUND(HLOOKUP("start",ESLData!E$1:E$9960,MATCH($G92,ESLData!$B$1:$B$9960,0)),0)</f>
        <v>13679767</v>
      </c>
      <c r="E92" s="227">
        <f>HLOOKUP("start",ESLData!F$1:F$9960,MATCH($G92,ESLData!$B$1:$B$9960,0))</f>
        <v>12500000</v>
      </c>
      <c r="G92" s="229">
        <v>30380</v>
      </c>
      <c r="H92" s="227" t="str">
        <f>HLOOKUP("start",ESLData!C$1:C$9960,MATCH($G92,ESLData!$B$1:$B$9960,0))</f>
        <v>Teachers Salaries</v>
      </c>
    </row>
    <row r="93" spans="2:9" x14ac:dyDescent="0.25">
      <c r="C93" s="279" t="s">
        <v>1477</v>
      </c>
      <c r="D93" s="226">
        <f>'Cashflow Workpaper 2022'!D94*-1</f>
        <v>-136396</v>
      </c>
    </row>
    <row r="94" spans="2:9" x14ac:dyDescent="0.25">
      <c r="C94" s="280" t="s">
        <v>1473</v>
      </c>
      <c r="D94" s="226">
        <v>436072</v>
      </c>
      <c r="F94" s="278"/>
      <c r="I94" s="226"/>
    </row>
    <row r="95" spans="2:9" hidden="1" x14ac:dyDescent="0.25"/>
    <row r="96" spans="2:9" hidden="1" x14ac:dyDescent="0.25"/>
    <row r="97" spans="2:7" hidden="1" x14ac:dyDescent="0.25"/>
    <row r="98" spans="2:7" hidden="1" x14ac:dyDescent="0.25"/>
    <row r="99" spans="2:7" hidden="1" x14ac:dyDescent="0.25"/>
    <row r="100" spans="2:7" x14ac:dyDescent="0.25">
      <c r="D100" s="281">
        <f>SUM(D91:D99)</f>
        <v>-4772259</v>
      </c>
      <c r="E100" s="281">
        <f>SUM(E91:E99)</f>
        <v>-5219076</v>
      </c>
    </row>
    <row r="102" spans="2:7" x14ac:dyDescent="0.25">
      <c r="B102" s="223" t="s">
        <v>1172</v>
      </c>
      <c r="D102" s="226">
        <f>D340-D330-SUM(D7:D101)/2-SUM(D106:D140)/2-D213-D291-SUM(D103:D104)</f>
        <v>-5224233.4400000013</v>
      </c>
      <c r="E102" s="226">
        <f>E340-E330-SUM(E7:E101)/2-SUM(E106:E140)/2-E213-E291-SUM(E103:E104)</f>
        <v>-4737822</v>
      </c>
    </row>
    <row r="103" spans="2:7" x14ac:dyDescent="0.25">
      <c r="C103" s="280" t="s">
        <v>1475</v>
      </c>
      <c r="D103" s="226">
        <f>'Cashflow Workpaper 2022'!D104*-1</f>
        <v>-204451</v>
      </c>
      <c r="G103" s="260"/>
    </row>
    <row r="104" spans="2:7" x14ac:dyDescent="0.25">
      <c r="C104" s="280" t="s">
        <v>1474</v>
      </c>
      <c r="D104" s="226">
        <v>293640</v>
      </c>
      <c r="G104" s="266"/>
    </row>
    <row r="105" spans="2:7" x14ac:dyDescent="0.25">
      <c r="D105" s="281">
        <f>SUM(D102:D104)</f>
        <v>-5135044.4400000013</v>
      </c>
      <c r="E105" s="281">
        <f>SUM(E102:E104)</f>
        <v>-4737822</v>
      </c>
    </row>
    <row r="107" spans="2:7" hidden="1" x14ac:dyDescent="0.25">
      <c r="B107" s="223" t="s">
        <v>1173</v>
      </c>
    </row>
    <row r="108" spans="2:7" hidden="1" x14ac:dyDescent="0.25">
      <c r="C108" s="223" t="s">
        <v>1207</v>
      </c>
    </row>
    <row r="109" spans="2:7" hidden="1" x14ac:dyDescent="0.25">
      <c r="C109" s="223" t="s">
        <v>1206</v>
      </c>
    </row>
    <row r="110" spans="2:7" hidden="1" x14ac:dyDescent="0.25">
      <c r="D110" s="281">
        <f>SUM(D107:D109)</f>
        <v>0</v>
      </c>
      <c r="E110" s="281">
        <f>SUM(E107:E109)</f>
        <v>0</v>
      </c>
    </row>
    <row r="112" spans="2:7" x14ac:dyDescent="0.25">
      <c r="B112" s="223" t="s">
        <v>1174</v>
      </c>
      <c r="D112" s="227">
        <f>-'Comprehensive Income'!C23</f>
        <v>-14478</v>
      </c>
      <c r="E112" s="227">
        <f>-'Comprehensive Income'!D23</f>
        <v>-630</v>
      </c>
    </row>
    <row r="113" spans="2:8" x14ac:dyDescent="0.25">
      <c r="C113" s="223" t="s">
        <v>1175</v>
      </c>
      <c r="D113" s="226">
        <v>0</v>
      </c>
    </row>
    <row r="114" spans="2:8" x14ac:dyDescent="0.25">
      <c r="C114" s="223" t="s">
        <v>1176</v>
      </c>
      <c r="D114" s="226">
        <v>0</v>
      </c>
    </row>
    <row r="115" spans="2:8" hidden="1" x14ac:dyDescent="0.25"/>
    <row r="116" spans="2:8" hidden="1" x14ac:dyDescent="0.25"/>
    <row r="117" spans="2:8" hidden="1" x14ac:dyDescent="0.25"/>
    <row r="118" spans="2:8" hidden="1" x14ac:dyDescent="0.25"/>
    <row r="119" spans="2:8" hidden="1" x14ac:dyDescent="0.25"/>
    <row r="120" spans="2:8" x14ac:dyDescent="0.25">
      <c r="D120" s="281">
        <f>SUM(D112:D119)</f>
        <v>-14478</v>
      </c>
      <c r="E120" s="281">
        <f>SUM(E112:E119)</f>
        <v>-630</v>
      </c>
    </row>
    <row r="122" spans="2:8" x14ac:dyDescent="0.25">
      <c r="B122" s="223" t="s">
        <v>1177</v>
      </c>
      <c r="D122" s="227">
        <f>'Comprehensive Income'!C12</f>
        <v>521591</v>
      </c>
      <c r="E122" s="227">
        <f>'Comprehensive Income'!D12</f>
        <v>90000</v>
      </c>
    </row>
    <row r="123" spans="2:8" x14ac:dyDescent="0.25">
      <c r="C123" s="223" t="s">
        <v>1178</v>
      </c>
      <c r="D123" s="227">
        <f>'Cashflow Workpaper 2022'!D124*-1</f>
        <v>87660</v>
      </c>
      <c r="E123" s="227"/>
      <c r="G123" s="230"/>
      <c r="H123" s="227"/>
    </row>
    <row r="124" spans="2:8" x14ac:dyDescent="0.25">
      <c r="C124" s="223" t="s">
        <v>1179</v>
      </c>
      <c r="D124" s="227">
        <f>-ROUND(HLOOKUP("start",ESLData!E$1:E$9960,MATCH($G124,ESLData!$B$1:$B$9960,0)),0)</f>
        <v>-273538</v>
      </c>
      <c r="E124" s="227"/>
      <c r="G124" s="230">
        <v>9112</v>
      </c>
      <c r="H124" s="227" t="str">
        <f>HLOOKUP("start",ESLData!C$1:C$9960,MATCH($G124,ESLData!$B$1:$B$9960,0))</f>
        <v>Interest Accrual</v>
      </c>
    </row>
    <row r="125" spans="2:8" hidden="1" x14ac:dyDescent="0.25"/>
    <row r="126" spans="2:8" hidden="1" x14ac:dyDescent="0.25"/>
    <row r="127" spans="2:8" hidden="1" x14ac:dyDescent="0.25"/>
    <row r="128" spans="2:8" hidden="1" x14ac:dyDescent="0.25"/>
    <row r="129" spans="4:5" hidden="1" x14ac:dyDescent="0.25"/>
    <row r="130" spans="4:5" x14ac:dyDescent="0.25">
      <c r="D130" s="281">
        <f>SUM(D122:D129)</f>
        <v>335713</v>
      </c>
      <c r="E130" s="281">
        <f>SUM(E122:E129)</f>
        <v>90000</v>
      </c>
    </row>
    <row r="131" spans="4:5" hidden="1" x14ac:dyDescent="0.25"/>
    <row r="132" spans="4:5" hidden="1" x14ac:dyDescent="0.25"/>
    <row r="133" spans="4:5" hidden="1" x14ac:dyDescent="0.25"/>
    <row r="134" spans="4:5" hidden="1" x14ac:dyDescent="0.25"/>
    <row r="135" spans="4:5" hidden="1" x14ac:dyDescent="0.25"/>
    <row r="136" spans="4:5" hidden="1" x14ac:dyDescent="0.25"/>
    <row r="137" spans="4:5" hidden="1" x14ac:dyDescent="0.25"/>
    <row r="138" spans="4:5" hidden="1" x14ac:dyDescent="0.25"/>
    <row r="139" spans="4:5" hidden="1" x14ac:dyDescent="0.25"/>
    <row r="140" spans="4:5" hidden="1" x14ac:dyDescent="0.25"/>
    <row r="141" spans="4:5" hidden="1" x14ac:dyDescent="0.25"/>
    <row r="142" spans="4:5" hidden="1" x14ac:dyDescent="0.25"/>
    <row r="143" spans="4:5" hidden="1" x14ac:dyDescent="0.25"/>
    <row r="144" spans="4:5" hidden="1" x14ac:dyDescent="0.25"/>
    <row r="145" spans="1:5" hidden="1" x14ac:dyDescent="0.25"/>
    <row r="146" spans="1:5" hidden="1" x14ac:dyDescent="0.25"/>
    <row r="147" spans="1:5" hidden="1" x14ac:dyDescent="0.25"/>
    <row r="148" spans="1:5" hidden="1" x14ac:dyDescent="0.25"/>
    <row r="149" spans="1:5" hidden="1" x14ac:dyDescent="0.25"/>
    <row r="150" spans="1:5" hidden="1" x14ac:dyDescent="0.25"/>
    <row r="151" spans="1:5" hidden="1" x14ac:dyDescent="0.25"/>
    <row r="152" spans="1:5" hidden="1" x14ac:dyDescent="0.25"/>
    <row r="153" spans="1:5" hidden="1" x14ac:dyDescent="0.25"/>
    <row r="154" spans="1:5" hidden="1" x14ac:dyDescent="0.25"/>
    <row r="155" spans="1:5" hidden="1" x14ac:dyDescent="0.25"/>
    <row r="156" spans="1:5" hidden="1" x14ac:dyDescent="0.25"/>
    <row r="157" spans="1:5" hidden="1" x14ac:dyDescent="0.25"/>
    <row r="158" spans="1:5" hidden="1" x14ac:dyDescent="0.25"/>
    <row r="160" spans="1:5" x14ac:dyDescent="0.25">
      <c r="A160" s="223" t="s">
        <v>1180</v>
      </c>
      <c r="D160" s="281">
        <f>SUM(D7:D159)/2</f>
        <v>1977794</v>
      </c>
      <c r="E160" s="281">
        <f>SUM(E7:E159)/2</f>
        <v>165014</v>
      </c>
    </row>
    <row r="162" spans="1:15" hidden="1" x14ac:dyDescent="0.25"/>
    <row r="163" spans="1:15" hidden="1" x14ac:dyDescent="0.25"/>
    <row r="164" spans="1:15" hidden="1" x14ac:dyDescent="0.25"/>
    <row r="165" spans="1:15" hidden="1" x14ac:dyDescent="0.25"/>
    <row r="166" spans="1:15" hidden="1" x14ac:dyDescent="0.25"/>
    <row r="167" spans="1:15" hidden="1" x14ac:dyDescent="0.25"/>
    <row r="168" spans="1:15" hidden="1" x14ac:dyDescent="0.25"/>
    <row r="170" spans="1:15" x14ac:dyDescent="0.25">
      <c r="A170" s="223" t="s">
        <v>77</v>
      </c>
    </row>
    <row r="171" spans="1:15" x14ac:dyDescent="0.25">
      <c r="B171" s="223" t="s">
        <v>1205</v>
      </c>
      <c r="D171" s="227">
        <f>ROUND(HLOOKUP("start",ESLData!E$1:E$9960,MATCH($G171,ESLData!$B$1:$B$9960,0)),0)</f>
        <v>0</v>
      </c>
      <c r="E171" s="227">
        <v>0</v>
      </c>
      <c r="G171" s="230" t="s">
        <v>544</v>
      </c>
      <c r="H171" s="227" t="str">
        <f>HLOOKUP("start",ESLData!C$1:C$9960,MATCH($G171,ESLData!$B$1:$B$9960,0))</f>
        <v>Disposal of Assets</v>
      </c>
      <c r="O171" s="295" t="s">
        <v>781</v>
      </c>
    </row>
    <row r="172" spans="1:15" x14ac:dyDescent="0.25">
      <c r="C172" s="223" t="s">
        <v>1195</v>
      </c>
      <c r="D172" s="226">
        <f>'Cashflow Workpaper 2022'!D173</f>
        <v>0</v>
      </c>
    </row>
    <row r="173" spans="1:15" x14ac:dyDescent="0.25">
      <c r="C173" s="223" t="s">
        <v>1194</v>
      </c>
      <c r="D173" s="226">
        <v>0</v>
      </c>
    </row>
    <row r="174" spans="1:15" hidden="1" x14ac:dyDescent="0.25"/>
    <row r="175" spans="1:15" hidden="1" x14ac:dyDescent="0.25"/>
    <row r="176" spans="1:15" hidden="1" x14ac:dyDescent="0.25"/>
    <row r="177" spans="2:8" hidden="1" x14ac:dyDescent="0.25"/>
    <row r="178" spans="2:8" hidden="1" x14ac:dyDescent="0.25"/>
    <row r="179" spans="2:8" hidden="1" x14ac:dyDescent="0.25"/>
    <row r="180" spans="2:8" x14ac:dyDescent="0.25">
      <c r="D180" s="281">
        <f>SUM(D171:D179)</f>
        <v>0</v>
      </c>
      <c r="E180" s="281">
        <f>SUM(E171:E179)</f>
        <v>0</v>
      </c>
    </row>
    <row r="182" spans="2:8" x14ac:dyDescent="0.25">
      <c r="B182" s="223" t="s">
        <v>1204</v>
      </c>
      <c r="D182" s="226">
        <f>-Notes!D221</f>
        <v>-702728</v>
      </c>
    </row>
    <row r="183" spans="2:8" x14ac:dyDescent="0.25">
      <c r="C183" s="223" t="s">
        <v>1203</v>
      </c>
      <c r="D183" s="227">
        <f>'Cashflow Workpaper 2022'!D184</f>
        <v>0</v>
      </c>
      <c r="E183" s="227"/>
      <c r="G183" s="230"/>
      <c r="H183" s="227"/>
    </row>
    <row r="184" spans="2:8" x14ac:dyDescent="0.25">
      <c r="C184" s="223" t="s">
        <v>1202</v>
      </c>
      <c r="D184" s="227">
        <f>ROUND(HLOOKUP("start",ESLData!E$1:E$9960,MATCH($G184,ESLData!$B$1:$B$9960,0)),0)</f>
        <v>0</v>
      </c>
      <c r="E184" s="227"/>
      <c r="G184" s="230">
        <v>9391</v>
      </c>
      <c r="H184" s="227" t="str">
        <f>HLOOKUP("start",ESLData!C$1:C$9960,MATCH($G184,ESLData!$B$1:$B$9960,0))</f>
        <v>Work in Progress</v>
      </c>
    </row>
    <row r="185" spans="2:8" x14ac:dyDescent="0.25">
      <c r="C185" s="279" t="s">
        <v>1201</v>
      </c>
      <c r="D185" s="226">
        <v>81216</v>
      </c>
      <c r="G185" s="260"/>
    </row>
    <row r="186" spans="2:8" x14ac:dyDescent="0.25">
      <c r="C186" s="223" t="s">
        <v>1190</v>
      </c>
      <c r="D186" s="226">
        <f>'Cashflow Workpaper 2022'!D187</f>
        <v>0</v>
      </c>
    </row>
    <row r="187" spans="2:8" x14ac:dyDescent="0.25">
      <c r="C187" s="223" t="s">
        <v>1189</v>
      </c>
      <c r="D187" s="226">
        <v>4112</v>
      </c>
      <c r="G187" s="276" t="s">
        <v>1522</v>
      </c>
    </row>
    <row r="188" spans="2:8" hidden="1" x14ac:dyDescent="0.25"/>
    <row r="189" spans="2:8" hidden="1" x14ac:dyDescent="0.25"/>
    <row r="190" spans="2:8" x14ac:dyDescent="0.25">
      <c r="D190" s="281">
        <f>SUM(D182:D189)</f>
        <v>-617400</v>
      </c>
      <c r="E190" s="281">
        <f>SUM(E182:E189)</f>
        <v>0</v>
      </c>
    </row>
    <row r="192" spans="2:8" x14ac:dyDescent="0.25">
      <c r="B192" s="223" t="s">
        <v>1200</v>
      </c>
    </row>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spans="1:13" hidden="1" x14ac:dyDescent="0.25"/>
    <row r="210" spans="1:13" x14ac:dyDescent="0.25">
      <c r="B210" s="223" t="s">
        <v>1199</v>
      </c>
      <c r="D210" s="226">
        <f>-(Notes!F202-Notes!H202)</f>
        <v>-1525735</v>
      </c>
      <c r="M210" s="261" t="s">
        <v>781</v>
      </c>
    </row>
    <row r="211" spans="1:13" x14ac:dyDescent="0.25">
      <c r="D211" s="281">
        <f>SUM(D193:D210)</f>
        <v>-1525735</v>
      </c>
      <c r="E211" s="281">
        <f>SUM(E192:E210)</f>
        <v>0</v>
      </c>
    </row>
    <row r="213" spans="1:13" x14ac:dyDescent="0.25">
      <c r="A213" s="223" t="s">
        <v>1198</v>
      </c>
      <c r="D213" s="281">
        <f>SUM(D171:D212)/2</f>
        <v>-2143135</v>
      </c>
      <c r="E213" s="281">
        <f>SUM(E171:E212)/2</f>
        <v>0</v>
      </c>
    </row>
    <row r="214" spans="1:13" hidden="1" x14ac:dyDescent="0.25"/>
    <row r="215" spans="1:13" hidden="1" x14ac:dyDescent="0.25"/>
    <row r="216" spans="1:13" hidden="1" x14ac:dyDescent="0.25"/>
    <row r="217" spans="1:13" hidden="1" x14ac:dyDescent="0.25"/>
    <row r="218" spans="1:13" hidden="1" x14ac:dyDescent="0.25"/>
    <row r="220" spans="1:13" x14ac:dyDescent="0.25">
      <c r="A220" s="223" t="s">
        <v>78</v>
      </c>
    </row>
    <row r="221" spans="1:13" x14ac:dyDescent="0.25">
      <c r="B221" s="223" t="s">
        <v>1197</v>
      </c>
      <c r="D221" s="227">
        <f>-ROUND(HLOOKUP("start",ESLData!E$1:E$9960,MATCH($G221,ESLData!$B$1:$B$9960,0)),0)</f>
        <v>112838</v>
      </c>
      <c r="E221" s="227">
        <v>0</v>
      </c>
      <c r="G221" s="230">
        <v>9501</v>
      </c>
      <c r="H221" s="227" t="str">
        <f>HLOOKUP("start",ESLData!C$1:C$9960,MATCH($G221,ESLData!$B$1:$B$9960,0))</f>
        <v>MOE Capital Contribution</v>
      </c>
    </row>
    <row r="222" spans="1:13" x14ac:dyDescent="0.25">
      <c r="C222" s="223" t="s">
        <v>1195</v>
      </c>
      <c r="D222" s="322">
        <v>0</v>
      </c>
    </row>
    <row r="223" spans="1:13" x14ac:dyDescent="0.25">
      <c r="C223" s="223" t="s">
        <v>1194</v>
      </c>
      <c r="D223" s="226">
        <v>0</v>
      </c>
    </row>
    <row r="224" spans="1:13" hidden="1" x14ac:dyDescent="0.25"/>
    <row r="225" spans="2:14" hidden="1" x14ac:dyDescent="0.25"/>
    <row r="226" spans="2:14" hidden="1" x14ac:dyDescent="0.25"/>
    <row r="227" spans="2:14" hidden="1" x14ac:dyDescent="0.25"/>
    <row r="228" spans="2:14" hidden="1" x14ac:dyDescent="0.25"/>
    <row r="229" spans="2:14" ht="7.5" customHeight="1" x14ac:dyDescent="0.25"/>
    <row r="230" spans="2:14" x14ac:dyDescent="0.25">
      <c r="D230" s="281">
        <f>SUM(D221:D229)</f>
        <v>112838</v>
      </c>
      <c r="E230" s="281">
        <f>SUM(E221:E229)</f>
        <v>0</v>
      </c>
    </row>
    <row r="232" spans="2:14" x14ac:dyDescent="0.25">
      <c r="B232" s="223" t="s">
        <v>1196</v>
      </c>
      <c r="D232" s="226">
        <v>0</v>
      </c>
    </row>
    <row r="233" spans="2:14" x14ac:dyDescent="0.25">
      <c r="C233" s="223" t="s">
        <v>1195</v>
      </c>
      <c r="D233" s="226">
        <v>0</v>
      </c>
    </row>
    <row r="234" spans="2:14" x14ac:dyDescent="0.25">
      <c r="C234" s="223" t="s">
        <v>1194</v>
      </c>
      <c r="D234" s="226">
        <v>0</v>
      </c>
      <c r="N234" s="261" t="s">
        <v>781</v>
      </c>
    </row>
    <row r="235" spans="2:14" hidden="1" x14ac:dyDescent="0.25"/>
    <row r="236" spans="2:14" hidden="1" x14ac:dyDescent="0.25"/>
    <row r="237" spans="2:14" hidden="1" x14ac:dyDescent="0.25"/>
    <row r="238" spans="2:14" hidden="1" x14ac:dyDescent="0.25"/>
    <row r="239" spans="2:14" hidden="1" x14ac:dyDescent="0.25"/>
    <row r="240" spans="2:14" x14ac:dyDescent="0.25">
      <c r="D240" s="281">
        <f>SUM(D232:D239)</f>
        <v>0</v>
      </c>
      <c r="E240" s="281">
        <f>SUM(E232:E239)</f>
        <v>0</v>
      </c>
    </row>
    <row r="242" spans="2:7" x14ac:dyDescent="0.25">
      <c r="B242" s="223" t="s">
        <v>1193</v>
      </c>
      <c r="D242" s="226">
        <v>-59708</v>
      </c>
      <c r="G242" s="231" t="s">
        <v>1221</v>
      </c>
    </row>
    <row r="243" spans="2:7" x14ac:dyDescent="0.25">
      <c r="C243" s="223" t="s">
        <v>1190</v>
      </c>
      <c r="D243" s="226">
        <v>0</v>
      </c>
    </row>
    <row r="244" spans="2:7" x14ac:dyDescent="0.25">
      <c r="C244" s="223" t="s">
        <v>1189</v>
      </c>
      <c r="D244" s="226">
        <v>0</v>
      </c>
    </row>
    <row r="245" spans="2:7" hidden="1" x14ac:dyDescent="0.25"/>
    <row r="246" spans="2:7" hidden="1" x14ac:dyDescent="0.25"/>
    <row r="247" spans="2:7" hidden="1" x14ac:dyDescent="0.25"/>
    <row r="248" spans="2:7" hidden="1" x14ac:dyDescent="0.25"/>
    <row r="249" spans="2:7" hidden="1" x14ac:dyDescent="0.25"/>
    <row r="250" spans="2:7" x14ac:dyDescent="0.25">
      <c r="D250" s="281">
        <f>SUM(D242:D249)</f>
        <v>-59708</v>
      </c>
      <c r="E250" s="281">
        <f>SUM(E242:E249)</f>
        <v>0</v>
      </c>
    </row>
    <row r="252" spans="2:7" x14ac:dyDescent="0.25">
      <c r="B252" s="223" t="s">
        <v>1192</v>
      </c>
      <c r="D252" s="226">
        <v>0</v>
      </c>
    </row>
    <row r="253" spans="2:7" x14ac:dyDescent="0.25">
      <c r="C253" s="223" t="s">
        <v>1190</v>
      </c>
      <c r="D253" s="226">
        <v>0</v>
      </c>
    </row>
    <row r="254" spans="2:7" x14ac:dyDescent="0.25">
      <c r="C254" s="223" t="s">
        <v>1189</v>
      </c>
      <c r="D254" s="226">
        <v>0</v>
      </c>
    </row>
    <row r="255" spans="2:7" hidden="1" x14ac:dyDescent="0.25"/>
    <row r="256" spans="2:7" hidden="1" x14ac:dyDescent="0.25"/>
    <row r="257" spans="2:5" hidden="1" x14ac:dyDescent="0.25"/>
    <row r="258" spans="2:5" hidden="1" x14ac:dyDescent="0.25"/>
    <row r="259" spans="2:5" hidden="1" x14ac:dyDescent="0.25"/>
    <row r="260" spans="2:5" x14ac:dyDescent="0.25">
      <c r="D260" s="281">
        <f>SUM(D252:D259)</f>
        <v>0</v>
      </c>
      <c r="E260" s="281">
        <f>SUM(E252:E259)</f>
        <v>0</v>
      </c>
    </row>
    <row r="262" spans="2:5" x14ac:dyDescent="0.25">
      <c r="B262" s="223" t="s">
        <v>1191</v>
      </c>
      <c r="D262" s="226">
        <v>0</v>
      </c>
    </row>
    <row r="263" spans="2:5" x14ac:dyDescent="0.25">
      <c r="C263" s="223" t="s">
        <v>1190</v>
      </c>
      <c r="D263" s="226">
        <v>0</v>
      </c>
    </row>
    <row r="264" spans="2:5" x14ac:dyDescent="0.25">
      <c r="C264" s="223" t="s">
        <v>1189</v>
      </c>
      <c r="D264" s="226">
        <v>0</v>
      </c>
    </row>
    <row r="265" spans="2:5" hidden="1" x14ac:dyDescent="0.25"/>
    <row r="266" spans="2:5" hidden="1" x14ac:dyDescent="0.25"/>
    <row r="267" spans="2:5" hidden="1" x14ac:dyDescent="0.25"/>
    <row r="268" spans="2:5" hidden="1" x14ac:dyDescent="0.25"/>
    <row r="269" spans="2:5" hidden="1" x14ac:dyDescent="0.25"/>
    <row r="270" spans="2:5" x14ac:dyDescent="0.25">
      <c r="D270" s="281">
        <f>SUM(D262:D269)</f>
        <v>0</v>
      </c>
      <c r="E270" s="281">
        <f>SUM(E262:E269)</f>
        <v>0</v>
      </c>
    </row>
    <row r="272" spans="2:5" x14ac:dyDescent="0.25">
      <c r="B272" s="341" t="s">
        <v>1654</v>
      </c>
      <c r="C272" s="295"/>
      <c r="D272" s="226">
        <f>'Financial Position'!C25+'Financial Position'!C17</f>
        <v>33280</v>
      </c>
    </row>
    <row r="273" spans="3:5" x14ac:dyDescent="0.25">
      <c r="C273" s="223" t="s">
        <v>1188</v>
      </c>
      <c r="D273" s="226">
        <v>0</v>
      </c>
    </row>
    <row r="274" spans="3:5" x14ac:dyDescent="0.25">
      <c r="C274" s="223" t="s">
        <v>1187</v>
      </c>
      <c r="D274" s="226">
        <v>0</v>
      </c>
    </row>
    <row r="275" spans="3:5" x14ac:dyDescent="0.25">
      <c r="C275" s="223" t="s">
        <v>1186</v>
      </c>
      <c r="D275" s="226">
        <v>0</v>
      </c>
    </row>
    <row r="276" spans="3:5" x14ac:dyDescent="0.25">
      <c r="C276" s="223" t="s">
        <v>1185</v>
      </c>
      <c r="D276" s="226">
        <v>0</v>
      </c>
    </row>
    <row r="277" spans="3:5" x14ac:dyDescent="0.25">
      <c r="D277" s="281">
        <f>SUM(D272:D276)</f>
        <v>33280</v>
      </c>
      <c r="E277" s="281">
        <f>SUM(E272:E276)</f>
        <v>0</v>
      </c>
    </row>
    <row r="278" spans="3:5" hidden="1" x14ac:dyDescent="0.25"/>
    <row r="279" spans="3:5" hidden="1" x14ac:dyDescent="0.25"/>
    <row r="280" spans="3:5" hidden="1" x14ac:dyDescent="0.25"/>
    <row r="281" spans="3:5" hidden="1" x14ac:dyDescent="0.25"/>
    <row r="282" spans="3:5" hidden="1" x14ac:dyDescent="0.25"/>
    <row r="283" spans="3:5" hidden="1" x14ac:dyDescent="0.25"/>
    <row r="284" spans="3:5" hidden="1" x14ac:dyDescent="0.25"/>
    <row r="285" spans="3:5" hidden="1" x14ac:dyDescent="0.25"/>
    <row r="286" spans="3:5" hidden="1" x14ac:dyDescent="0.25"/>
    <row r="287" spans="3:5" hidden="1" x14ac:dyDescent="0.25"/>
    <row r="288" spans="3:5" hidden="1" x14ac:dyDescent="0.25"/>
    <row r="289" spans="1:5" hidden="1" x14ac:dyDescent="0.25"/>
    <row r="291" spans="1:5" x14ac:dyDescent="0.25">
      <c r="A291" s="223" t="s">
        <v>1184</v>
      </c>
      <c r="D291" s="281">
        <f>SUM(D221:D290)/2</f>
        <v>86410</v>
      </c>
      <c r="E291" s="281">
        <f>SUM(E221:E290)/2</f>
        <v>0</v>
      </c>
    </row>
    <row r="292" spans="1:5" hidden="1" x14ac:dyDescent="0.25"/>
    <row r="293" spans="1:5" hidden="1" x14ac:dyDescent="0.25"/>
    <row r="294" spans="1:5" hidden="1" x14ac:dyDescent="0.25"/>
    <row r="295" spans="1:5" hidden="1" x14ac:dyDescent="0.25"/>
    <row r="296" spans="1:5" hidden="1" x14ac:dyDescent="0.25"/>
    <row r="297" spans="1:5" hidden="1" x14ac:dyDescent="0.25"/>
    <row r="298" spans="1:5" hidden="1" x14ac:dyDescent="0.25"/>
    <row r="299" spans="1:5" hidden="1" x14ac:dyDescent="0.25"/>
    <row r="300" spans="1:5" hidden="1" x14ac:dyDescent="0.25"/>
    <row r="301" spans="1:5" hidden="1" x14ac:dyDescent="0.25"/>
    <row r="302" spans="1:5" hidden="1" x14ac:dyDescent="0.25"/>
    <row r="303" spans="1:5" hidden="1" x14ac:dyDescent="0.25"/>
    <row r="304" spans="1:5" hidden="1" x14ac:dyDescent="0.25"/>
    <row r="305" spans="1:5" hidden="1" x14ac:dyDescent="0.25"/>
    <row r="306" spans="1:5" hidden="1" x14ac:dyDescent="0.25"/>
    <row r="307" spans="1:5" hidden="1" x14ac:dyDescent="0.25"/>
    <row r="308" spans="1:5" hidden="1" x14ac:dyDescent="0.25"/>
    <row r="309" spans="1:5" hidden="1" x14ac:dyDescent="0.25"/>
    <row r="311" spans="1:5" ht="15.75" thickBot="1" x14ac:dyDescent="0.3">
      <c r="A311" s="223" t="s">
        <v>1183</v>
      </c>
      <c r="D311" s="285">
        <f>D340-D330</f>
        <v>-78931</v>
      </c>
      <c r="E311" s="285">
        <f>E340-E330</f>
        <v>165014</v>
      </c>
    </row>
    <row r="312" spans="1:5" ht="15.75" hidden="1" thickTop="1" x14ac:dyDescent="0.25"/>
    <row r="313" spans="1:5" ht="15.75" hidden="1" thickTop="1" x14ac:dyDescent="0.25"/>
    <row r="314" spans="1:5" ht="15.75" hidden="1" thickTop="1" x14ac:dyDescent="0.25"/>
    <row r="315" spans="1:5" ht="15.75" hidden="1" thickTop="1" x14ac:dyDescent="0.25"/>
    <row r="316" spans="1:5" ht="15.75" hidden="1" thickTop="1" x14ac:dyDescent="0.25"/>
    <row r="317" spans="1:5" ht="15.75" hidden="1" thickTop="1" x14ac:dyDescent="0.25"/>
    <row r="318" spans="1:5" ht="15.75" hidden="1" thickTop="1" x14ac:dyDescent="0.25"/>
    <row r="319" spans="1:5" ht="15.75" hidden="1" thickTop="1" x14ac:dyDescent="0.25"/>
    <row r="320" spans="1:5" ht="15.75" hidden="1" thickTop="1" x14ac:dyDescent="0.25"/>
    <row r="321" spans="1:5" ht="15.75" hidden="1" thickTop="1" x14ac:dyDescent="0.25"/>
    <row r="322" spans="1:5" ht="15.75" hidden="1" thickTop="1" x14ac:dyDescent="0.25"/>
    <row r="323" spans="1:5" ht="15.75" hidden="1" thickTop="1" x14ac:dyDescent="0.25"/>
    <row r="324" spans="1:5" ht="15.75" hidden="1" thickTop="1" x14ac:dyDescent="0.25"/>
    <row r="325" spans="1:5" ht="15.75" hidden="1" thickTop="1" x14ac:dyDescent="0.25"/>
    <row r="326" spans="1:5" ht="15.75" hidden="1" thickTop="1" x14ac:dyDescent="0.25"/>
    <row r="327" spans="1:5" ht="15.75" hidden="1" thickTop="1" x14ac:dyDescent="0.25"/>
    <row r="328" spans="1:5" ht="15.75" hidden="1" thickTop="1" x14ac:dyDescent="0.25"/>
    <row r="329" spans="1:5" ht="15.75" thickTop="1" x14ac:dyDescent="0.25"/>
    <row r="330" spans="1:5" x14ac:dyDescent="0.25">
      <c r="A330" s="223" t="s">
        <v>1182</v>
      </c>
      <c r="D330" s="226">
        <f>Notes!H165</f>
        <v>285191</v>
      </c>
      <c r="E330" s="226">
        <v>1994427</v>
      </c>
    </row>
    <row r="331" spans="1:5" hidden="1" x14ac:dyDescent="0.25"/>
    <row r="332" spans="1:5" hidden="1" x14ac:dyDescent="0.25"/>
    <row r="333" spans="1:5" hidden="1" x14ac:dyDescent="0.25"/>
    <row r="334" spans="1:5" hidden="1" x14ac:dyDescent="0.25"/>
    <row r="335" spans="1:5" hidden="1" x14ac:dyDescent="0.25"/>
    <row r="336" spans="1:5" hidden="1" x14ac:dyDescent="0.25"/>
    <row r="337" spans="1:5" hidden="1" x14ac:dyDescent="0.25"/>
    <row r="338" spans="1:5" hidden="1" x14ac:dyDescent="0.25"/>
    <row r="340" spans="1:5" ht="15.75" thickBot="1" x14ac:dyDescent="0.3">
      <c r="A340" s="223" t="s">
        <v>1181</v>
      </c>
      <c r="D340" s="285">
        <f>Notes!F165</f>
        <v>206260</v>
      </c>
      <c r="E340" s="285">
        <f>Notes!G165</f>
        <v>2159441</v>
      </c>
    </row>
    <row r="341" spans="1:5" ht="15.75" thickTop="1" x14ac:dyDescent="0.25"/>
  </sheetData>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41"/>
  <sheetViews>
    <sheetView topLeftCell="A15" zoomScaleNormal="100" zoomScaleSheetLayoutView="100" workbookViewId="0">
      <selection activeCell="D39" sqref="D39"/>
    </sheetView>
  </sheetViews>
  <sheetFormatPr defaultColWidth="9.140625" defaultRowHeight="15" x14ac:dyDescent="0.25"/>
  <cols>
    <col min="1" max="1" width="2.7109375" style="349" customWidth="1"/>
    <col min="2" max="2" width="3" style="349" customWidth="1"/>
    <col min="3" max="3" width="71.140625" style="349" customWidth="1"/>
    <col min="4" max="4" width="12.140625" style="353" customWidth="1"/>
    <col min="5" max="5" width="12" style="353" customWidth="1"/>
    <col min="6" max="6" width="9.140625" style="353"/>
    <col min="7" max="7" width="9.140625" style="351"/>
    <col min="8" max="16384" width="9.140625" style="349"/>
  </cols>
  <sheetData>
    <row r="1" spans="1:8" s="345" customFormat="1" ht="21" x14ac:dyDescent="0.35">
      <c r="A1" s="344" t="s">
        <v>1516</v>
      </c>
      <c r="D1" s="346"/>
      <c r="E1" s="346"/>
      <c r="F1" s="346"/>
      <c r="G1" s="347"/>
    </row>
    <row r="2" spans="1:8" s="345" customFormat="1" ht="21" x14ac:dyDescent="0.35">
      <c r="D2" s="348"/>
      <c r="E2" s="348" t="s">
        <v>1216</v>
      </c>
      <c r="F2" s="346"/>
      <c r="G2" s="347"/>
    </row>
    <row r="4" spans="1:8" x14ac:dyDescent="0.25">
      <c r="D4" s="350">
        <v>2022</v>
      </c>
      <c r="E4" s="350">
        <v>2022</v>
      </c>
      <c r="F4" s="350"/>
    </row>
    <row r="5" spans="1:8" x14ac:dyDescent="0.25">
      <c r="D5" s="352" t="s">
        <v>606</v>
      </c>
      <c r="E5" s="352" t="s">
        <v>607</v>
      </c>
      <c r="F5" s="352"/>
      <c r="G5" s="351" t="s">
        <v>647</v>
      </c>
    </row>
    <row r="6" spans="1:8" x14ac:dyDescent="0.25">
      <c r="A6" s="349" t="s">
        <v>76</v>
      </c>
    </row>
    <row r="7" spans="1:8" x14ac:dyDescent="0.25">
      <c r="B7" s="349" t="s">
        <v>1215</v>
      </c>
      <c r="D7" s="227">
        <v>23938083</v>
      </c>
      <c r="E7" s="227">
        <v>22943603</v>
      </c>
    </row>
    <row r="8" spans="1:8" x14ac:dyDescent="0.25">
      <c r="C8" s="284" t="s">
        <v>1156</v>
      </c>
      <c r="D8" s="227">
        <v>-12369060</v>
      </c>
      <c r="E8" s="227">
        <v>-12223000</v>
      </c>
      <c r="G8" s="230">
        <v>10290</v>
      </c>
      <c r="H8" s="227" t="s">
        <v>249</v>
      </c>
    </row>
    <row r="9" spans="1:8" x14ac:dyDescent="0.25">
      <c r="C9" s="284" t="s">
        <v>1217</v>
      </c>
      <c r="D9" s="227">
        <v>-1633477</v>
      </c>
      <c r="E9" s="227">
        <v>-2140692</v>
      </c>
      <c r="G9" s="230">
        <v>1900</v>
      </c>
      <c r="H9" s="227" t="s">
        <v>271</v>
      </c>
    </row>
    <row r="10" spans="1:8" x14ac:dyDescent="0.25">
      <c r="C10" s="284" t="s">
        <v>1157</v>
      </c>
      <c r="D10" s="227">
        <v>-511</v>
      </c>
      <c r="E10" s="227">
        <v>0</v>
      </c>
      <c r="G10" s="230">
        <v>146</v>
      </c>
      <c r="H10" s="227" t="s">
        <v>242</v>
      </c>
    </row>
    <row r="11" spans="1:8" x14ac:dyDescent="0.25">
      <c r="C11" s="284" t="s">
        <v>1158</v>
      </c>
      <c r="D11" s="227">
        <v>-36370</v>
      </c>
      <c r="E11" s="227">
        <v>-14954</v>
      </c>
      <c r="G11" s="230">
        <v>149</v>
      </c>
      <c r="H11" s="227" t="s">
        <v>879</v>
      </c>
    </row>
    <row r="12" spans="1:8" x14ac:dyDescent="0.25">
      <c r="C12" s="284" t="s">
        <v>1159</v>
      </c>
      <c r="D12" s="353">
        <v>0</v>
      </c>
    </row>
    <row r="13" spans="1:8" x14ac:dyDescent="0.25">
      <c r="C13" s="284" t="s">
        <v>1160</v>
      </c>
      <c r="D13" s="353">
        <v>0</v>
      </c>
    </row>
    <row r="14" spans="1:8" x14ac:dyDescent="0.25">
      <c r="C14" s="284" t="s">
        <v>1147</v>
      </c>
      <c r="D14" s="354">
        <v>152275</v>
      </c>
      <c r="E14" s="353">
        <v>0</v>
      </c>
      <c r="H14" s="355" t="s">
        <v>1653</v>
      </c>
    </row>
    <row r="15" spans="1:8" x14ac:dyDescent="0.25">
      <c r="C15" s="284" t="s">
        <v>1148</v>
      </c>
      <c r="D15" s="353">
        <v>-493697</v>
      </c>
    </row>
    <row r="16" spans="1:8" x14ac:dyDescent="0.25">
      <c r="C16" s="284" t="s">
        <v>1149</v>
      </c>
      <c r="D16" s="227">
        <v>0</v>
      </c>
      <c r="E16" s="227"/>
      <c r="G16" s="230">
        <v>9317</v>
      </c>
      <c r="H16" s="227" t="s">
        <v>1218</v>
      </c>
    </row>
    <row r="17" spans="2:8" x14ac:dyDescent="0.25">
      <c r="C17" s="284" t="s">
        <v>1150</v>
      </c>
      <c r="D17" s="227">
        <v>0</v>
      </c>
      <c r="E17" s="227"/>
      <c r="G17" s="230">
        <v>9317</v>
      </c>
      <c r="H17" s="227" t="s">
        <v>1218</v>
      </c>
    </row>
    <row r="18" spans="2:8" x14ac:dyDescent="0.25">
      <c r="C18" s="284" t="s">
        <v>1151</v>
      </c>
      <c r="D18" s="227">
        <v>0</v>
      </c>
      <c r="E18" s="227"/>
      <c r="G18" s="230">
        <v>9328</v>
      </c>
      <c r="H18" s="227" t="s">
        <v>1131</v>
      </c>
    </row>
    <row r="19" spans="2:8" x14ac:dyDescent="0.25">
      <c r="C19" s="284" t="s">
        <v>1152</v>
      </c>
      <c r="D19" s="227">
        <v>0</v>
      </c>
      <c r="E19" s="227"/>
      <c r="G19" s="230">
        <v>9328</v>
      </c>
      <c r="H19" s="227" t="s">
        <v>1131</v>
      </c>
    </row>
    <row r="20" spans="2:8" x14ac:dyDescent="0.25">
      <c r="C20" s="284" t="s">
        <v>1153</v>
      </c>
      <c r="D20" s="353">
        <v>0</v>
      </c>
    </row>
    <row r="21" spans="2:8" x14ac:dyDescent="0.25">
      <c r="C21" s="284" t="s">
        <v>1154</v>
      </c>
      <c r="D21" s="353">
        <v>0</v>
      </c>
    </row>
    <row r="22" spans="2:8" x14ac:dyDescent="0.25">
      <c r="C22" s="284" t="s">
        <v>1155</v>
      </c>
      <c r="D22" s="353">
        <v>0</v>
      </c>
    </row>
    <row r="23" spans="2:8" hidden="1" x14ac:dyDescent="0.25"/>
    <row r="24" spans="2:8" hidden="1" x14ac:dyDescent="0.25"/>
    <row r="25" spans="2:8" hidden="1" x14ac:dyDescent="0.25"/>
    <row r="26" spans="2:8" hidden="1" x14ac:dyDescent="0.25"/>
    <row r="27" spans="2:8" hidden="1" x14ac:dyDescent="0.25"/>
    <row r="28" spans="2:8" hidden="1" x14ac:dyDescent="0.25"/>
    <row r="29" spans="2:8" hidden="1" x14ac:dyDescent="0.25"/>
    <row r="30" spans="2:8" x14ac:dyDescent="0.25">
      <c r="D30" s="356">
        <v>9557243</v>
      </c>
      <c r="E30" s="356">
        <v>8564957</v>
      </c>
    </row>
    <row r="32" spans="2:8" x14ac:dyDescent="0.25">
      <c r="B32" s="349" t="s">
        <v>1161</v>
      </c>
      <c r="D32" s="227">
        <v>207424</v>
      </c>
      <c r="E32" s="227">
        <v>185500</v>
      </c>
    </row>
    <row r="33" spans="3:8" x14ac:dyDescent="0.25">
      <c r="C33" s="349" t="s">
        <v>1162</v>
      </c>
      <c r="D33" s="227">
        <v>20000</v>
      </c>
      <c r="E33" s="227">
        <v>0</v>
      </c>
    </row>
    <row r="34" spans="3:8" x14ac:dyDescent="0.25">
      <c r="C34" s="349" t="s">
        <v>1219</v>
      </c>
      <c r="D34" s="227">
        <v>0</v>
      </c>
      <c r="E34" s="227">
        <v>0</v>
      </c>
      <c r="G34" s="353">
        <v>10665</v>
      </c>
      <c r="H34" s="227" t="s">
        <v>1062</v>
      </c>
    </row>
    <row r="35" spans="3:8" x14ac:dyDescent="0.25">
      <c r="C35" s="349" t="s">
        <v>1214</v>
      </c>
      <c r="D35" s="353">
        <v>0</v>
      </c>
    </row>
    <row r="36" spans="3:8" x14ac:dyDescent="0.25">
      <c r="C36" s="349" t="s">
        <v>1163</v>
      </c>
      <c r="D36" s="353">
        <v>-54781.78</v>
      </c>
    </row>
    <row r="37" spans="3:8" x14ac:dyDescent="0.25">
      <c r="C37" s="349" t="s">
        <v>1164</v>
      </c>
      <c r="D37" s="353">
        <v>51304.539999999994</v>
      </c>
    </row>
    <row r="38" spans="3:8" x14ac:dyDescent="0.25">
      <c r="C38" s="349" t="s">
        <v>1165</v>
      </c>
      <c r="D38" s="353">
        <v>7699</v>
      </c>
    </row>
    <row r="39" spans="3:8" x14ac:dyDescent="0.25">
      <c r="C39" s="349" t="s">
        <v>1166</v>
      </c>
      <c r="D39" s="353">
        <v>-248983</v>
      </c>
      <c r="G39" s="357"/>
    </row>
    <row r="40" spans="3:8" hidden="1" x14ac:dyDescent="0.25"/>
    <row r="41" spans="3:8" hidden="1" x14ac:dyDescent="0.25"/>
    <row r="42" spans="3:8" hidden="1" x14ac:dyDescent="0.25"/>
    <row r="43" spans="3:8" hidden="1" x14ac:dyDescent="0.25"/>
    <row r="44" spans="3:8" hidden="1" x14ac:dyDescent="0.25"/>
    <row r="45" spans="3:8" hidden="1" x14ac:dyDescent="0.25"/>
    <row r="46" spans="3:8" hidden="1" x14ac:dyDescent="0.25"/>
    <row r="47" spans="3:8" hidden="1" x14ac:dyDescent="0.25"/>
    <row r="48" spans="3:8" hidden="1" x14ac:dyDescent="0.25"/>
    <row r="49" spans="2:13" hidden="1" x14ac:dyDescent="0.25"/>
    <row r="50" spans="2:13" x14ac:dyDescent="0.25">
      <c r="D50" s="356">
        <v>-17337.239999999991</v>
      </c>
      <c r="E50" s="356">
        <v>185500</v>
      </c>
    </row>
    <row r="52" spans="2:13" x14ac:dyDescent="0.25">
      <c r="B52" s="349" t="s">
        <v>1167</v>
      </c>
      <c r="D52" s="353">
        <v>0</v>
      </c>
      <c r="E52" s="353">
        <v>0</v>
      </c>
    </row>
    <row r="53" spans="2:13" x14ac:dyDescent="0.25">
      <c r="C53" s="349" t="s">
        <v>1213</v>
      </c>
      <c r="D53" s="353">
        <v>0</v>
      </c>
      <c r="E53" s="353">
        <v>0</v>
      </c>
    </row>
    <row r="54" spans="2:13" x14ac:dyDescent="0.25">
      <c r="C54" s="349" t="s">
        <v>1211</v>
      </c>
      <c r="D54" s="353">
        <v>0</v>
      </c>
      <c r="E54" s="353">
        <v>0</v>
      </c>
    </row>
    <row r="55" spans="2:13" hidden="1" x14ac:dyDescent="0.25"/>
    <row r="56" spans="2:13" hidden="1" x14ac:dyDescent="0.25"/>
    <row r="57" spans="2:13" hidden="1" x14ac:dyDescent="0.25"/>
    <row r="58" spans="2:13" hidden="1" x14ac:dyDescent="0.25"/>
    <row r="59" spans="2:13" hidden="1" x14ac:dyDescent="0.25"/>
    <row r="60" spans="2:13" x14ac:dyDescent="0.25">
      <c r="D60" s="356">
        <v>0</v>
      </c>
      <c r="E60" s="356">
        <v>0</v>
      </c>
    </row>
    <row r="62" spans="2:13" x14ac:dyDescent="0.25">
      <c r="B62" s="349" t="s">
        <v>1168</v>
      </c>
      <c r="D62" s="353">
        <v>0</v>
      </c>
      <c r="E62" s="353">
        <v>0</v>
      </c>
    </row>
    <row r="63" spans="2:13" x14ac:dyDescent="0.25">
      <c r="C63" s="349" t="s">
        <v>1212</v>
      </c>
      <c r="D63" s="353">
        <v>0</v>
      </c>
      <c r="E63" s="353">
        <v>0</v>
      </c>
      <c r="M63" s="349" t="s">
        <v>1471</v>
      </c>
    </row>
    <row r="64" spans="2:13" x14ac:dyDescent="0.25">
      <c r="C64" s="349" t="s">
        <v>1211</v>
      </c>
      <c r="D64" s="353">
        <v>0</v>
      </c>
      <c r="E64" s="353">
        <v>0</v>
      </c>
    </row>
    <row r="65" spans="2:6" x14ac:dyDescent="0.25">
      <c r="C65" s="349" t="s">
        <v>1210</v>
      </c>
      <c r="D65" s="353">
        <v>0</v>
      </c>
      <c r="E65" s="353">
        <v>0</v>
      </c>
    </row>
    <row r="66" spans="2:6" x14ac:dyDescent="0.25">
      <c r="C66" s="349" t="s">
        <v>1209</v>
      </c>
      <c r="D66" s="353">
        <v>0</v>
      </c>
      <c r="E66" s="353">
        <v>0</v>
      </c>
    </row>
    <row r="67" spans="2:6" hidden="1" x14ac:dyDescent="0.25">
      <c r="E67" s="353">
        <v>0</v>
      </c>
    </row>
    <row r="68" spans="2:6" hidden="1" x14ac:dyDescent="0.25">
      <c r="E68" s="353">
        <v>0</v>
      </c>
    </row>
    <row r="69" spans="2:6" hidden="1" x14ac:dyDescent="0.25">
      <c r="E69" s="353">
        <v>0</v>
      </c>
    </row>
    <row r="70" spans="2:6" x14ac:dyDescent="0.25">
      <c r="D70" s="356">
        <v>0</v>
      </c>
      <c r="E70" s="356">
        <v>0</v>
      </c>
    </row>
    <row r="72" spans="2:6" x14ac:dyDescent="0.25">
      <c r="B72" s="349" t="s">
        <v>1169</v>
      </c>
      <c r="D72" s="227">
        <v>105252</v>
      </c>
      <c r="E72" s="227">
        <v>0</v>
      </c>
    </row>
    <row r="73" spans="2:6" x14ac:dyDescent="0.25">
      <c r="C73" s="349" t="s">
        <v>1476</v>
      </c>
      <c r="F73" s="358"/>
    </row>
    <row r="74" spans="2:6" hidden="1" x14ac:dyDescent="0.25"/>
    <row r="75" spans="2:6" hidden="1" x14ac:dyDescent="0.25"/>
    <row r="76" spans="2:6" hidden="1" x14ac:dyDescent="0.25"/>
    <row r="77" spans="2:6" hidden="1" x14ac:dyDescent="0.25"/>
    <row r="78" spans="2:6" hidden="1" x14ac:dyDescent="0.25"/>
    <row r="79" spans="2:6" hidden="1" x14ac:dyDescent="0.25"/>
    <row r="80" spans="2:6" x14ac:dyDescent="0.25">
      <c r="D80" s="356">
        <v>105252</v>
      </c>
      <c r="E80" s="356">
        <v>0</v>
      </c>
    </row>
    <row r="82" spans="2:8" hidden="1" x14ac:dyDescent="0.25">
      <c r="B82" s="349" t="s">
        <v>1170</v>
      </c>
      <c r="D82" s="353">
        <v>0</v>
      </c>
      <c r="E82" s="353">
        <v>0</v>
      </c>
    </row>
    <row r="83" spans="2:8" hidden="1" x14ac:dyDescent="0.25">
      <c r="C83" s="349" t="s">
        <v>1188</v>
      </c>
      <c r="D83" s="353">
        <v>0</v>
      </c>
    </row>
    <row r="84" spans="2:8" hidden="1" x14ac:dyDescent="0.25">
      <c r="C84" s="349" t="s">
        <v>1208</v>
      </c>
      <c r="D84" s="353">
        <v>0</v>
      </c>
    </row>
    <row r="85" spans="2:8" hidden="1" x14ac:dyDescent="0.25">
      <c r="C85" s="349" t="s">
        <v>1186</v>
      </c>
      <c r="D85" s="353">
        <v>0</v>
      </c>
    </row>
    <row r="86" spans="2:8" hidden="1" x14ac:dyDescent="0.25">
      <c r="C86" s="349" t="s">
        <v>1185</v>
      </c>
      <c r="D86" s="353">
        <v>0</v>
      </c>
    </row>
    <row r="87" spans="2:8" hidden="1" x14ac:dyDescent="0.25">
      <c r="D87" s="356">
        <v>0</v>
      </c>
      <c r="E87" s="356">
        <v>0</v>
      </c>
    </row>
    <row r="88" spans="2:8" hidden="1" x14ac:dyDescent="0.25"/>
    <row r="89" spans="2:8" hidden="1" x14ac:dyDescent="0.25"/>
    <row r="91" spans="2:8" x14ac:dyDescent="0.25">
      <c r="B91" s="349" t="s">
        <v>1171</v>
      </c>
      <c r="D91" s="227">
        <v>-16640612</v>
      </c>
      <c r="E91" s="227">
        <v>-16925050</v>
      </c>
    </row>
    <row r="92" spans="2:8" x14ac:dyDescent="0.25">
      <c r="C92" s="349" t="s">
        <v>1156</v>
      </c>
      <c r="D92" s="227">
        <v>12369060</v>
      </c>
      <c r="E92" s="227">
        <v>12223000</v>
      </c>
      <c r="G92" s="351">
        <v>30380</v>
      </c>
      <c r="H92" s="227" t="s">
        <v>307</v>
      </c>
    </row>
    <row r="93" spans="2:8" x14ac:dyDescent="0.25">
      <c r="C93" s="349" t="s">
        <v>1477</v>
      </c>
      <c r="D93" s="353">
        <v>-148282</v>
      </c>
    </row>
    <row r="94" spans="2:8" x14ac:dyDescent="0.25">
      <c r="C94" s="349" t="s">
        <v>1473</v>
      </c>
      <c r="D94" s="353">
        <v>136396</v>
      </c>
    </row>
    <row r="95" spans="2:8" hidden="1" x14ac:dyDescent="0.25"/>
    <row r="96" spans="2:8" hidden="1" x14ac:dyDescent="0.25"/>
    <row r="97" spans="2:7" hidden="1" x14ac:dyDescent="0.25"/>
    <row r="98" spans="2:7" hidden="1" x14ac:dyDescent="0.25"/>
    <row r="99" spans="2:7" hidden="1" x14ac:dyDescent="0.25"/>
    <row r="100" spans="2:7" x14ac:dyDescent="0.25">
      <c r="D100" s="356">
        <v>-4283438</v>
      </c>
      <c r="E100" s="356">
        <v>-4702050</v>
      </c>
    </row>
    <row r="102" spans="2:7" x14ac:dyDescent="0.25">
      <c r="B102" s="349" t="s">
        <v>1172</v>
      </c>
      <c r="D102" s="353">
        <v>-3785613.76</v>
      </c>
      <c r="E102" s="353">
        <v>-1707869</v>
      </c>
    </row>
    <row r="103" spans="2:7" x14ac:dyDescent="0.25">
      <c r="C103" s="349" t="s">
        <v>1475</v>
      </c>
      <c r="D103" s="353">
        <v>-43287</v>
      </c>
      <c r="G103" s="357"/>
    </row>
    <row r="104" spans="2:7" x14ac:dyDescent="0.25">
      <c r="C104" s="349" t="s">
        <v>1474</v>
      </c>
      <c r="D104" s="353">
        <v>204451</v>
      </c>
      <c r="G104" s="359"/>
    </row>
    <row r="105" spans="2:7" x14ac:dyDescent="0.25">
      <c r="D105" s="356">
        <v>-3624449.76</v>
      </c>
      <c r="E105" s="356">
        <v>-1707869</v>
      </c>
    </row>
    <row r="107" spans="2:7" hidden="1" x14ac:dyDescent="0.25">
      <c r="B107" s="349" t="s">
        <v>1173</v>
      </c>
    </row>
    <row r="108" spans="2:7" hidden="1" x14ac:dyDescent="0.25">
      <c r="C108" s="349" t="s">
        <v>1207</v>
      </c>
    </row>
    <row r="109" spans="2:7" hidden="1" x14ac:dyDescent="0.25">
      <c r="C109" s="349" t="s">
        <v>1206</v>
      </c>
    </row>
    <row r="110" spans="2:7" hidden="1" x14ac:dyDescent="0.25">
      <c r="D110" s="356">
        <v>0</v>
      </c>
      <c r="E110" s="356">
        <v>0</v>
      </c>
    </row>
    <row r="112" spans="2:7" x14ac:dyDescent="0.25">
      <c r="B112" s="349" t="s">
        <v>1174</v>
      </c>
      <c r="D112" s="227">
        <v>-14752</v>
      </c>
      <c r="E112" s="227">
        <v>-2365</v>
      </c>
    </row>
    <row r="113" spans="2:8" x14ac:dyDescent="0.25">
      <c r="C113" s="349" t="s">
        <v>1175</v>
      </c>
      <c r="D113" s="353">
        <v>0</v>
      </c>
    </row>
    <row r="114" spans="2:8" x14ac:dyDescent="0.25">
      <c r="C114" s="349" t="s">
        <v>1176</v>
      </c>
      <c r="D114" s="353">
        <v>0</v>
      </c>
    </row>
    <row r="115" spans="2:8" hidden="1" x14ac:dyDescent="0.25"/>
    <row r="116" spans="2:8" hidden="1" x14ac:dyDescent="0.25"/>
    <row r="117" spans="2:8" hidden="1" x14ac:dyDescent="0.25"/>
    <row r="118" spans="2:8" hidden="1" x14ac:dyDescent="0.25"/>
    <row r="119" spans="2:8" hidden="1" x14ac:dyDescent="0.25"/>
    <row r="120" spans="2:8" x14ac:dyDescent="0.25">
      <c r="D120" s="356">
        <v>-14752</v>
      </c>
      <c r="E120" s="356">
        <v>-2365</v>
      </c>
    </row>
    <row r="122" spans="2:8" x14ac:dyDescent="0.25">
      <c r="B122" s="349" t="s">
        <v>1177</v>
      </c>
      <c r="D122" s="227">
        <v>170479</v>
      </c>
      <c r="E122" s="227">
        <v>80000</v>
      </c>
    </row>
    <row r="123" spans="2:8" x14ac:dyDescent="0.25">
      <c r="C123" s="349" t="s">
        <v>1178</v>
      </c>
      <c r="D123" s="227">
        <v>15664</v>
      </c>
      <c r="E123" s="227"/>
      <c r="G123" s="230"/>
      <c r="H123" s="227"/>
    </row>
    <row r="124" spans="2:8" x14ac:dyDescent="0.25">
      <c r="C124" s="349" t="s">
        <v>1179</v>
      </c>
      <c r="D124" s="227">
        <v>-87660</v>
      </c>
      <c r="E124" s="227"/>
      <c r="G124" s="230">
        <v>9112</v>
      </c>
      <c r="H124" s="227" t="s">
        <v>136</v>
      </c>
    </row>
    <row r="125" spans="2:8" hidden="1" x14ac:dyDescent="0.25"/>
    <row r="126" spans="2:8" hidden="1" x14ac:dyDescent="0.25"/>
    <row r="127" spans="2:8" hidden="1" x14ac:dyDescent="0.25"/>
    <row r="128" spans="2:8" hidden="1" x14ac:dyDescent="0.25"/>
    <row r="129" spans="4:5" hidden="1" x14ac:dyDescent="0.25"/>
    <row r="130" spans="4:5" x14ac:dyDescent="0.25">
      <c r="D130" s="356">
        <v>98483</v>
      </c>
      <c r="E130" s="356">
        <v>80000</v>
      </c>
    </row>
    <row r="131" spans="4:5" hidden="1" x14ac:dyDescent="0.25"/>
    <row r="132" spans="4:5" hidden="1" x14ac:dyDescent="0.25"/>
    <row r="133" spans="4:5" hidden="1" x14ac:dyDescent="0.25"/>
    <row r="134" spans="4:5" hidden="1" x14ac:dyDescent="0.25"/>
    <row r="135" spans="4:5" hidden="1" x14ac:dyDescent="0.25"/>
    <row r="136" spans="4:5" hidden="1" x14ac:dyDescent="0.25"/>
    <row r="137" spans="4:5" hidden="1" x14ac:dyDescent="0.25"/>
    <row r="138" spans="4:5" hidden="1" x14ac:dyDescent="0.25"/>
    <row r="139" spans="4:5" hidden="1" x14ac:dyDescent="0.25"/>
    <row r="140" spans="4:5" hidden="1" x14ac:dyDescent="0.25"/>
    <row r="141" spans="4:5" hidden="1" x14ac:dyDescent="0.25"/>
    <row r="142" spans="4:5" hidden="1" x14ac:dyDescent="0.25"/>
    <row r="143" spans="4:5" hidden="1" x14ac:dyDescent="0.25"/>
    <row r="144" spans="4:5" hidden="1" x14ac:dyDescent="0.25"/>
    <row r="145" spans="1:5" hidden="1" x14ac:dyDescent="0.25"/>
    <row r="146" spans="1:5" hidden="1" x14ac:dyDescent="0.25"/>
    <row r="147" spans="1:5" hidden="1" x14ac:dyDescent="0.25"/>
    <row r="148" spans="1:5" hidden="1" x14ac:dyDescent="0.25"/>
    <row r="149" spans="1:5" hidden="1" x14ac:dyDescent="0.25"/>
    <row r="150" spans="1:5" hidden="1" x14ac:dyDescent="0.25"/>
    <row r="151" spans="1:5" hidden="1" x14ac:dyDescent="0.25"/>
    <row r="152" spans="1:5" hidden="1" x14ac:dyDescent="0.25"/>
    <row r="153" spans="1:5" hidden="1" x14ac:dyDescent="0.25"/>
    <row r="154" spans="1:5" hidden="1" x14ac:dyDescent="0.25"/>
    <row r="155" spans="1:5" hidden="1" x14ac:dyDescent="0.25"/>
    <row r="156" spans="1:5" hidden="1" x14ac:dyDescent="0.25"/>
    <row r="157" spans="1:5" hidden="1" x14ac:dyDescent="0.25"/>
    <row r="158" spans="1:5" hidden="1" x14ac:dyDescent="0.25"/>
    <row r="160" spans="1:5" x14ac:dyDescent="0.25">
      <c r="A160" s="349" t="s">
        <v>1180</v>
      </c>
      <c r="D160" s="356">
        <v>1821001</v>
      </c>
      <c r="E160" s="356">
        <v>2418173</v>
      </c>
    </row>
    <row r="162" spans="1:15" hidden="1" x14ac:dyDescent="0.25"/>
    <row r="163" spans="1:15" hidden="1" x14ac:dyDescent="0.25"/>
    <row r="164" spans="1:15" hidden="1" x14ac:dyDescent="0.25"/>
    <row r="165" spans="1:15" hidden="1" x14ac:dyDescent="0.25"/>
    <row r="166" spans="1:15" hidden="1" x14ac:dyDescent="0.25"/>
    <row r="167" spans="1:15" hidden="1" x14ac:dyDescent="0.25"/>
    <row r="168" spans="1:15" hidden="1" x14ac:dyDescent="0.25"/>
    <row r="170" spans="1:15" x14ac:dyDescent="0.25">
      <c r="A170" s="349" t="s">
        <v>77</v>
      </c>
    </row>
    <row r="171" spans="1:15" x14ac:dyDescent="0.25">
      <c r="B171" s="349" t="s">
        <v>1205</v>
      </c>
      <c r="D171" s="227">
        <v>0</v>
      </c>
      <c r="E171" s="227">
        <v>0</v>
      </c>
      <c r="G171" s="230" t="s">
        <v>544</v>
      </c>
      <c r="H171" s="227" t="s">
        <v>545</v>
      </c>
      <c r="O171" s="349" t="s">
        <v>781</v>
      </c>
    </row>
    <row r="172" spans="1:15" x14ac:dyDescent="0.25">
      <c r="C172" s="349" t="s">
        <v>1195</v>
      </c>
      <c r="D172" s="353">
        <v>0</v>
      </c>
    </row>
    <row r="173" spans="1:15" x14ac:dyDescent="0.25">
      <c r="C173" s="349" t="s">
        <v>1194</v>
      </c>
      <c r="D173" s="353">
        <v>0</v>
      </c>
    </row>
    <row r="174" spans="1:15" hidden="1" x14ac:dyDescent="0.25"/>
    <row r="175" spans="1:15" hidden="1" x14ac:dyDescent="0.25"/>
    <row r="176" spans="1:15" hidden="1" x14ac:dyDescent="0.25"/>
    <row r="177" spans="2:8" hidden="1" x14ac:dyDescent="0.25"/>
    <row r="178" spans="2:8" hidden="1" x14ac:dyDescent="0.25"/>
    <row r="179" spans="2:8" hidden="1" x14ac:dyDescent="0.25"/>
    <row r="180" spans="2:8" x14ac:dyDescent="0.25">
      <c r="D180" s="356">
        <v>0</v>
      </c>
      <c r="E180" s="356">
        <v>0</v>
      </c>
    </row>
    <row r="182" spans="2:8" x14ac:dyDescent="0.25">
      <c r="B182" s="349" t="s">
        <v>1204</v>
      </c>
      <c r="D182" s="353">
        <v>-1961931</v>
      </c>
    </row>
    <row r="183" spans="2:8" x14ac:dyDescent="0.25">
      <c r="C183" s="349" t="s">
        <v>1203</v>
      </c>
      <c r="D183" s="227">
        <v>0</v>
      </c>
      <c r="E183" s="227"/>
      <c r="G183" s="230"/>
      <c r="H183" s="227"/>
    </row>
    <row r="184" spans="2:8" x14ac:dyDescent="0.25">
      <c r="C184" s="349" t="s">
        <v>1202</v>
      </c>
      <c r="D184" s="227">
        <v>0</v>
      </c>
      <c r="E184" s="227"/>
      <c r="G184" s="230">
        <v>9391</v>
      </c>
      <c r="H184" s="227" t="s">
        <v>1220</v>
      </c>
    </row>
    <row r="185" spans="2:8" x14ac:dyDescent="0.25">
      <c r="C185" s="349" t="s">
        <v>1201</v>
      </c>
      <c r="D185" s="353">
        <v>81216</v>
      </c>
      <c r="G185" s="357"/>
    </row>
    <row r="186" spans="2:8" x14ac:dyDescent="0.25">
      <c r="C186" s="349" t="s">
        <v>1190</v>
      </c>
      <c r="D186" s="353">
        <v>-42090</v>
      </c>
    </row>
    <row r="187" spans="2:8" x14ac:dyDescent="0.25">
      <c r="C187" s="349" t="s">
        <v>1189</v>
      </c>
      <c r="G187" s="359" t="s">
        <v>1522</v>
      </c>
    </row>
    <row r="188" spans="2:8" hidden="1" x14ac:dyDescent="0.25"/>
    <row r="189" spans="2:8" hidden="1" x14ac:dyDescent="0.25"/>
    <row r="190" spans="2:8" x14ac:dyDescent="0.25">
      <c r="D190" s="356">
        <v>-1922805</v>
      </c>
      <c r="E190" s="356">
        <v>0</v>
      </c>
    </row>
    <row r="192" spans="2:8" x14ac:dyDescent="0.25">
      <c r="B192" s="349" t="s">
        <v>1200</v>
      </c>
    </row>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spans="1:13" hidden="1" x14ac:dyDescent="0.25"/>
    <row r="210" spans="1:13" x14ac:dyDescent="0.25">
      <c r="B210" s="349" t="s">
        <v>1199</v>
      </c>
      <c r="D210" s="353">
        <v>-1562718</v>
      </c>
      <c r="M210" s="349" t="s">
        <v>781</v>
      </c>
    </row>
    <row r="211" spans="1:13" x14ac:dyDescent="0.25">
      <c r="D211" s="356">
        <v>-1562718</v>
      </c>
      <c r="E211" s="356">
        <v>0</v>
      </c>
    </row>
    <row r="213" spans="1:13" x14ac:dyDescent="0.25">
      <c r="A213" s="349" t="s">
        <v>1198</v>
      </c>
      <c r="D213" s="356">
        <v>-3485523</v>
      </c>
      <c r="E213" s="356">
        <v>0</v>
      </c>
    </row>
    <row r="214" spans="1:13" hidden="1" x14ac:dyDescent="0.25"/>
    <row r="215" spans="1:13" hidden="1" x14ac:dyDescent="0.25"/>
    <row r="216" spans="1:13" hidden="1" x14ac:dyDescent="0.25"/>
    <row r="217" spans="1:13" hidden="1" x14ac:dyDescent="0.25"/>
    <row r="218" spans="1:13" hidden="1" x14ac:dyDescent="0.25"/>
    <row r="220" spans="1:13" x14ac:dyDescent="0.25">
      <c r="A220" s="349" t="s">
        <v>78</v>
      </c>
    </row>
    <row r="221" spans="1:13" x14ac:dyDescent="0.25">
      <c r="B221" s="349" t="s">
        <v>1197</v>
      </c>
      <c r="D221" s="227">
        <v>256350</v>
      </c>
      <c r="E221" s="227">
        <v>0</v>
      </c>
      <c r="G221" s="230">
        <v>9501</v>
      </c>
      <c r="H221" s="227" t="s">
        <v>529</v>
      </c>
    </row>
    <row r="222" spans="1:13" x14ac:dyDescent="0.25">
      <c r="C222" s="349" t="s">
        <v>1195</v>
      </c>
      <c r="D222" s="353">
        <v>0</v>
      </c>
    </row>
    <row r="223" spans="1:13" x14ac:dyDescent="0.25">
      <c r="C223" s="349" t="s">
        <v>1194</v>
      </c>
      <c r="D223" s="353">
        <v>0</v>
      </c>
    </row>
    <row r="224" spans="1:13" hidden="1" x14ac:dyDescent="0.25"/>
    <row r="225" spans="2:14" hidden="1" x14ac:dyDescent="0.25"/>
    <row r="226" spans="2:14" hidden="1" x14ac:dyDescent="0.25"/>
    <row r="227" spans="2:14" hidden="1" x14ac:dyDescent="0.25"/>
    <row r="228" spans="2:14" hidden="1" x14ac:dyDescent="0.25"/>
    <row r="229" spans="2:14" ht="7.5" customHeight="1" x14ac:dyDescent="0.25"/>
    <row r="230" spans="2:14" x14ac:dyDescent="0.25">
      <c r="D230" s="356">
        <v>256350</v>
      </c>
      <c r="E230" s="356">
        <v>0</v>
      </c>
    </row>
    <row r="232" spans="2:14" x14ac:dyDescent="0.25">
      <c r="B232" s="349" t="s">
        <v>1196</v>
      </c>
      <c r="D232" s="353">
        <v>0</v>
      </c>
    </row>
    <row r="233" spans="2:14" x14ac:dyDescent="0.25">
      <c r="C233" s="349" t="s">
        <v>1195</v>
      </c>
      <c r="D233" s="353">
        <v>0</v>
      </c>
    </row>
    <row r="234" spans="2:14" x14ac:dyDescent="0.25">
      <c r="C234" s="349" t="s">
        <v>1194</v>
      </c>
      <c r="D234" s="353">
        <v>0</v>
      </c>
      <c r="N234" s="349" t="s">
        <v>781</v>
      </c>
    </row>
    <row r="235" spans="2:14" hidden="1" x14ac:dyDescent="0.25"/>
    <row r="236" spans="2:14" hidden="1" x14ac:dyDescent="0.25"/>
    <row r="237" spans="2:14" hidden="1" x14ac:dyDescent="0.25"/>
    <row r="238" spans="2:14" hidden="1" x14ac:dyDescent="0.25"/>
    <row r="239" spans="2:14" hidden="1" x14ac:dyDescent="0.25"/>
    <row r="240" spans="2:14" x14ac:dyDescent="0.25">
      <c r="D240" s="356">
        <v>0</v>
      </c>
      <c r="E240" s="356">
        <v>0</v>
      </c>
    </row>
    <row r="242" spans="2:7" x14ac:dyDescent="0.25">
      <c r="B242" s="349" t="s">
        <v>1193</v>
      </c>
      <c r="D242" s="353">
        <v>-59593</v>
      </c>
      <c r="G242" s="359" t="s">
        <v>1221</v>
      </c>
    </row>
    <row r="243" spans="2:7" x14ac:dyDescent="0.25">
      <c r="C243" s="349" t="s">
        <v>1190</v>
      </c>
      <c r="D243" s="353">
        <v>0</v>
      </c>
    </row>
    <row r="244" spans="2:7" x14ac:dyDescent="0.25">
      <c r="C244" s="349" t="s">
        <v>1189</v>
      </c>
      <c r="D244" s="353">
        <v>0</v>
      </c>
    </row>
    <row r="245" spans="2:7" hidden="1" x14ac:dyDescent="0.25"/>
    <row r="246" spans="2:7" hidden="1" x14ac:dyDescent="0.25"/>
    <row r="247" spans="2:7" hidden="1" x14ac:dyDescent="0.25"/>
    <row r="248" spans="2:7" hidden="1" x14ac:dyDescent="0.25"/>
    <row r="249" spans="2:7" hidden="1" x14ac:dyDescent="0.25"/>
    <row r="250" spans="2:7" x14ac:dyDescent="0.25">
      <c r="D250" s="356">
        <v>-59593</v>
      </c>
      <c r="E250" s="356">
        <v>0</v>
      </c>
    </row>
    <row r="252" spans="2:7" x14ac:dyDescent="0.25">
      <c r="B252" s="349" t="s">
        <v>1192</v>
      </c>
      <c r="D252" s="353">
        <v>0</v>
      </c>
    </row>
    <row r="253" spans="2:7" x14ac:dyDescent="0.25">
      <c r="C253" s="349" t="s">
        <v>1190</v>
      </c>
      <c r="D253" s="353">
        <v>0</v>
      </c>
    </row>
    <row r="254" spans="2:7" x14ac:dyDescent="0.25">
      <c r="C254" s="349" t="s">
        <v>1189</v>
      </c>
      <c r="D254" s="353">
        <v>0</v>
      </c>
    </row>
    <row r="255" spans="2:7" hidden="1" x14ac:dyDescent="0.25"/>
    <row r="256" spans="2:7" hidden="1" x14ac:dyDescent="0.25"/>
    <row r="257" spans="2:5" hidden="1" x14ac:dyDescent="0.25"/>
    <row r="258" spans="2:5" hidden="1" x14ac:dyDescent="0.25"/>
    <row r="259" spans="2:5" hidden="1" x14ac:dyDescent="0.25"/>
    <row r="260" spans="2:5" x14ac:dyDescent="0.25">
      <c r="D260" s="356">
        <v>0</v>
      </c>
      <c r="E260" s="356">
        <v>0</v>
      </c>
    </row>
    <row r="262" spans="2:5" x14ac:dyDescent="0.25">
      <c r="B262" s="349" t="s">
        <v>1191</v>
      </c>
      <c r="D262" s="353">
        <v>0</v>
      </c>
    </row>
    <row r="263" spans="2:5" x14ac:dyDescent="0.25">
      <c r="C263" s="349" t="s">
        <v>1190</v>
      </c>
      <c r="D263" s="353">
        <v>0</v>
      </c>
    </row>
    <row r="264" spans="2:5" x14ac:dyDescent="0.25">
      <c r="C264" s="349" t="s">
        <v>1189</v>
      </c>
      <c r="D264" s="353">
        <v>0</v>
      </c>
    </row>
    <row r="265" spans="2:5" hidden="1" x14ac:dyDescent="0.25"/>
    <row r="266" spans="2:5" hidden="1" x14ac:dyDescent="0.25"/>
    <row r="267" spans="2:5" hidden="1" x14ac:dyDescent="0.25"/>
    <row r="268" spans="2:5" hidden="1" x14ac:dyDescent="0.25"/>
    <row r="269" spans="2:5" hidden="1" x14ac:dyDescent="0.25"/>
    <row r="270" spans="2:5" x14ac:dyDescent="0.25">
      <c r="D270" s="356">
        <v>0</v>
      </c>
      <c r="E270" s="356">
        <v>0</v>
      </c>
    </row>
    <row r="272" spans="2:5" x14ac:dyDescent="0.25">
      <c r="B272" s="349" t="s">
        <v>1654</v>
      </c>
      <c r="D272" s="353">
        <v>40925</v>
      </c>
    </row>
    <row r="273" spans="3:5" x14ac:dyDescent="0.25">
      <c r="C273" s="349" t="s">
        <v>1188</v>
      </c>
      <c r="D273" s="353">
        <v>0</v>
      </c>
    </row>
    <row r="274" spans="3:5" x14ac:dyDescent="0.25">
      <c r="C274" s="349" t="s">
        <v>1187</v>
      </c>
      <c r="D274" s="353">
        <v>0</v>
      </c>
    </row>
    <row r="275" spans="3:5" x14ac:dyDescent="0.25">
      <c r="C275" s="349" t="s">
        <v>1186</v>
      </c>
      <c r="D275" s="353">
        <v>0</v>
      </c>
    </row>
    <row r="276" spans="3:5" x14ac:dyDescent="0.25">
      <c r="C276" s="349" t="s">
        <v>1185</v>
      </c>
      <c r="D276" s="353">
        <v>0</v>
      </c>
    </row>
    <row r="277" spans="3:5" x14ac:dyDescent="0.25">
      <c r="D277" s="356">
        <v>40925</v>
      </c>
      <c r="E277" s="356">
        <v>0</v>
      </c>
    </row>
    <row r="278" spans="3:5" hidden="1" x14ac:dyDescent="0.25"/>
    <row r="279" spans="3:5" hidden="1" x14ac:dyDescent="0.25"/>
    <row r="280" spans="3:5" hidden="1" x14ac:dyDescent="0.25"/>
    <row r="281" spans="3:5" hidden="1" x14ac:dyDescent="0.25"/>
    <row r="282" spans="3:5" hidden="1" x14ac:dyDescent="0.25"/>
    <row r="283" spans="3:5" hidden="1" x14ac:dyDescent="0.25"/>
    <row r="284" spans="3:5" hidden="1" x14ac:dyDescent="0.25"/>
    <row r="285" spans="3:5" hidden="1" x14ac:dyDescent="0.25"/>
    <row r="286" spans="3:5" hidden="1" x14ac:dyDescent="0.25"/>
    <row r="287" spans="3:5" hidden="1" x14ac:dyDescent="0.25"/>
    <row r="288" spans="3:5" hidden="1" x14ac:dyDescent="0.25"/>
    <row r="289" spans="1:5" hidden="1" x14ac:dyDescent="0.25"/>
    <row r="291" spans="1:5" x14ac:dyDescent="0.25">
      <c r="A291" s="349" t="s">
        <v>1184</v>
      </c>
      <c r="D291" s="356">
        <v>237682</v>
      </c>
      <c r="E291" s="356">
        <v>0</v>
      </c>
    </row>
    <row r="292" spans="1:5" hidden="1" x14ac:dyDescent="0.25"/>
    <row r="293" spans="1:5" hidden="1" x14ac:dyDescent="0.25"/>
    <row r="294" spans="1:5" hidden="1" x14ac:dyDescent="0.25"/>
    <row r="295" spans="1:5" hidden="1" x14ac:dyDescent="0.25"/>
    <row r="296" spans="1:5" hidden="1" x14ac:dyDescent="0.25"/>
    <row r="297" spans="1:5" hidden="1" x14ac:dyDescent="0.25"/>
    <row r="298" spans="1:5" hidden="1" x14ac:dyDescent="0.25"/>
    <row r="299" spans="1:5" hidden="1" x14ac:dyDescent="0.25"/>
    <row r="300" spans="1:5" hidden="1" x14ac:dyDescent="0.25"/>
    <row r="301" spans="1:5" hidden="1" x14ac:dyDescent="0.25"/>
    <row r="302" spans="1:5" hidden="1" x14ac:dyDescent="0.25"/>
    <row r="303" spans="1:5" hidden="1" x14ac:dyDescent="0.25"/>
    <row r="304" spans="1:5" hidden="1" x14ac:dyDescent="0.25"/>
    <row r="305" spans="1:5" hidden="1" x14ac:dyDescent="0.25"/>
    <row r="306" spans="1:5" hidden="1" x14ac:dyDescent="0.25"/>
    <row r="307" spans="1:5" hidden="1" x14ac:dyDescent="0.25"/>
    <row r="308" spans="1:5" hidden="1" x14ac:dyDescent="0.25"/>
    <row r="309" spans="1:5" hidden="1" x14ac:dyDescent="0.25"/>
    <row r="311" spans="1:5" ht="15.75" thickBot="1" x14ac:dyDescent="0.3">
      <c r="A311" s="349" t="s">
        <v>1183</v>
      </c>
      <c r="D311" s="360">
        <v>-1426840</v>
      </c>
      <c r="E311" s="360">
        <v>2418173</v>
      </c>
    </row>
    <row r="312" spans="1:5" ht="15.75" hidden="1" thickTop="1" x14ac:dyDescent="0.25"/>
    <row r="313" spans="1:5" ht="15.75" hidden="1" thickTop="1" x14ac:dyDescent="0.25"/>
    <row r="314" spans="1:5" ht="15.75" hidden="1" thickTop="1" x14ac:dyDescent="0.25"/>
    <row r="315" spans="1:5" ht="15.75" hidden="1" thickTop="1" x14ac:dyDescent="0.25"/>
    <row r="316" spans="1:5" ht="15.75" hidden="1" thickTop="1" x14ac:dyDescent="0.25"/>
    <row r="317" spans="1:5" ht="15.75" hidden="1" thickTop="1" x14ac:dyDescent="0.25"/>
    <row r="318" spans="1:5" ht="15.75" hidden="1" thickTop="1" x14ac:dyDescent="0.25"/>
    <row r="319" spans="1:5" ht="15.75" hidden="1" thickTop="1" x14ac:dyDescent="0.25"/>
    <row r="320" spans="1:5" ht="15.75" hidden="1" thickTop="1" x14ac:dyDescent="0.25"/>
    <row r="321" spans="1:5" ht="15.75" hidden="1" thickTop="1" x14ac:dyDescent="0.25"/>
    <row r="322" spans="1:5" ht="15.75" hidden="1" thickTop="1" x14ac:dyDescent="0.25"/>
    <row r="323" spans="1:5" ht="15.75" hidden="1" thickTop="1" x14ac:dyDescent="0.25"/>
    <row r="324" spans="1:5" ht="15.75" hidden="1" thickTop="1" x14ac:dyDescent="0.25"/>
    <row r="325" spans="1:5" ht="15.75" hidden="1" thickTop="1" x14ac:dyDescent="0.25"/>
    <row r="326" spans="1:5" ht="15.75" hidden="1" thickTop="1" x14ac:dyDescent="0.25"/>
    <row r="327" spans="1:5" ht="15.75" hidden="1" thickTop="1" x14ac:dyDescent="0.25"/>
    <row r="328" spans="1:5" ht="15.75" hidden="1" thickTop="1" x14ac:dyDescent="0.25"/>
    <row r="329" spans="1:5" ht="15.75" thickTop="1" x14ac:dyDescent="0.25"/>
    <row r="330" spans="1:5" x14ac:dyDescent="0.25">
      <c r="A330" s="349" t="s">
        <v>1182</v>
      </c>
      <c r="D330" s="353">
        <v>1712031</v>
      </c>
      <c r="E330" s="353">
        <v>1994427</v>
      </c>
    </row>
    <row r="331" spans="1:5" hidden="1" x14ac:dyDescent="0.25"/>
    <row r="332" spans="1:5" hidden="1" x14ac:dyDescent="0.25"/>
    <row r="333" spans="1:5" hidden="1" x14ac:dyDescent="0.25"/>
    <row r="334" spans="1:5" hidden="1" x14ac:dyDescent="0.25"/>
    <row r="335" spans="1:5" hidden="1" x14ac:dyDescent="0.25"/>
    <row r="336" spans="1:5" hidden="1" x14ac:dyDescent="0.25"/>
    <row r="337" spans="1:5" hidden="1" x14ac:dyDescent="0.25"/>
    <row r="338" spans="1:5" hidden="1" x14ac:dyDescent="0.25"/>
    <row r="340" spans="1:5" ht="15.75" thickBot="1" x14ac:dyDescent="0.3">
      <c r="A340" s="349" t="s">
        <v>1181</v>
      </c>
      <c r="D340" s="360">
        <v>285191</v>
      </c>
      <c r="E340" s="360">
        <v>4412600</v>
      </c>
    </row>
    <row r="341" spans="1:5" ht="15.75" thickTop="1" x14ac:dyDescent="0.25"/>
  </sheetData>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R1290"/>
  <sheetViews>
    <sheetView topLeftCell="A1136" zoomScale="85" zoomScaleNormal="85" zoomScaleSheetLayoutView="100" workbookViewId="0">
      <selection activeCell="Q1160" sqref="Q1160"/>
    </sheetView>
  </sheetViews>
  <sheetFormatPr defaultColWidth="9.140625" defaultRowHeight="14.25" customHeight="1" x14ac:dyDescent="0.2"/>
  <cols>
    <col min="1" max="1" width="45.140625" style="144" customWidth="1"/>
    <col min="2" max="2" width="4.85546875" style="142" customWidth="1"/>
    <col min="3" max="3" width="17.5703125" style="142" customWidth="1"/>
    <col min="4" max="4" width="15" style="142" customWidth="1"/>
    <col min="5" max="5" width="11" style="142" customWidth="1"/>
    <col min="6" max="6" width="12.85546875" style="142" customWidth="1"/>
    <col min="7" max="7" width="13" style="142" customWidth="1"/>
    <col min="8" max="8" width="11.85546875" style="142" customWidth="1"/>
    <col min="9" max="9" width="9.140625" style="142"/>
    <col min="10" max="10" width="8.5703125" style="142" customWidth="1"/>
    <col min="11" max="11" width="36.42578125" style="142" customWidth="1"/>
    <col min="12" max="12" width="22.85546875" style="142" customWidth="1"/>
    <col min="13" max="16384" width="9.140625" style="142"/>
  </cols>
  <sheetData>
    <row r="1" spans="1:18" ht="14.25" customHeight="1" x14ac:dyDescent="0.2">
      <c r="A1" s="147" t="s">
        <v>739</v>
      </c>
      <c r="C1" s="142" t="s">
        <v>606</v>
      </c>
      <c r="D1" s="142" t="s">
        <v>751</v>
      </c>
      <c r="E1" s="142" t="s">
        <v>607</v>
      </c>
      <c r="G1" s="142" t="s">
        <v>185</v>
      </c>
      <c r="J1" s="156" t="s">
        <v>987</v>
      </c>
    </row>
    <row r="2" spans="1:18" ht="14.25" customHeight="1" x14ac:dyDescent="0.2">
      <c r="J2" s="156" t="s">
        <v>987</v>
      </c>
    </row>
    <row r="3" spans="1:18" ht="36" customHeight="1" x14ac:dyDescent="0.35">
      <c r="A3" s="144" t="s">
        <v>740</v>
      </c>
      <c r="C3" s="142" t="s">
        <v>684</v>
      </c>
      <c r="J3" s="156" t="s">
        <v>987</v>
      </c>
      <c r="L3" s="219"/>
      <c r="M3" s="219"/>
      <c r="N3" s="219"/>
      <c r="O3" s="154"/>
      <c r="P3" s="154"/>
      <c r="Q3" s="154"/>
      <c r="R3" s="154"/>
    </row>
    <row r="4" spans="1:18" ht="15" customHeight="1" x14ac:dyDescent="0.2">
      <c r="A4" s="259">
        <v>104</v>
      </c>
      <c r="C4" s="143">
        <f>HLOOKUP("start",ESLData!E$1:E$9960,MATCH($A4,ESLData!$B$1:$B$9960,0))*-1</f>
        <v>2071045.54</v>
      </c>
      <c r="D4" s="143"/>
      <c r="E4" s="143">
        <f>HLOOKUP("start",ESLData!F$1:F$9960,MATCH($A4,ESLData!$B$1:$B$9960,0))*-1</f>
        <v>1088533</v>
      </c>
      <c r="F4" s="143"/>
      <c r="G4" s="143">
        <f>HLOOKUP("start",ESLData!H$1:H$9960,MATCH($A4,ESLData!$B$1:$B$9960,0))*-1</f>
        <v>1235301.51</v>
      </c>
      <c r="J4" s="156" t="s">
        <v>987</v>
      </c>
      <c r="K4" s="142" t="str">
        <f>IF(ISNA(HLOOKUP("start",ESLData!C$1:C$9960,MATCH($A4,ESLData!$B$1:$B$9960,0))),"",HLOOKUP("start",ESLData!C$1:C$9960,MATCH($A4,ESLData!$B$1:$B$9960,0)))</f>
        <v>Operating Grant</v>
      </c>
    </row>
    <row r="5" spans="1:18" ht="14.25" customHeight="1" x14ac:dyDescent="0.2">
      <c r="A5" s="144">
        <v>165</v>
      </c>
      <c r="C5" s="143">
        <f>HLOOKUP("start",ESLData!E$1:E$9960,MATCH($A5,ESLData!$B$1:$B$9960,0))*-1</f>
        <v>9273.3700000000008</v>
      </c>
      <c r="D5" s="162">
        <f>ROUND(SUM(C4:C5),0)</f>
        <v>2080319</v>
      </c>
      <c r="E5" s="143">
        <f>HLOOKUP("start",ESLData!F$1:F$9960,MATCH($A5,ESLData!$B$1:$B$9960,0))*-1</f>
        <v>10000</v>
      </c>
      <c r="F5" s="155">
        <f>ROUND(SUM(E4:E5),0)</f>
        <v>1098533</v>
      </c>
      <c r="G5" s="143">
        <f>HLOOKUP("start",ESLData!H$1:H$9960,MATCH($A5,ESLData!$B$1:$B$9960,0))*-1</f>
        <v>9031.2999999999993</v>
      </c>
      <c r="H5" s="162">
        <f>ROUND(SUM(G4:G5),0)</f>
        <v>1244333</v>
      </c>
      <c r="J5" s="156" t="s">
        <v>987</v>
      </c>
      <c r="K5" s="142" t="str">
        <f>IF(ISNA(HLOOKUP("start",ESLData!C$1:C$9960,MATCH($A5,ESLData!$B$1:$B$9960,0))),"",HLOOKUP("start",ESLData!C$1:C$9960,MATCH($A5,ESLData!$B$1:$B$9960,0)))</f>
        <v>BOT Election Grant</v>
      </c>
    </row>
    <row r="6" spans="1:18" ht="14.25" customHeight="1" x14ac:dyDescent="0.2">
      <c r="A6" s="144" t="s">
        <v>741</v>
      </c>
      <c r="C6" s="143" t="s">
        <v>559</v>
      </c>
      <c r="E6" s="143"/>
      <c r="G6" s="143"/>
      <c r="J6" s="156" t="s">
        <v>987</v>
      </c>
      <c r="K6" s="142" t="str">
        <f>IF(ISNA(HLOOKUP("start",ESLData!C$1:C$9960,MATCH($A6,ESLData!$B$1:$B$9960,0))),"",HLOOKUP("start",ESLData!C$1:C$9960,MATCH($A6,ESLData!$B$1:$B$9960,0)))</f>
        <v/>
      </c>
    </row>
    <row r="7" spans="1:18" ht="14.25" customHeight="1" x14ac:dyDescent="0.2">
      <c r="A7" s="144">
        <v>10190</v>
      </c>
      <c r="C7" s="143">
        <f>HLOOKUP("start",ESLData!E$1:E$9960,MATCH($A7,ESLData!$B$1:$B$9960,0))*-1</f>
        <v>1749418.19</v>
      </c>
      <c r="D7" s="163">
        <f>ROUND(C7,0)</f>
        <v>1749418</v>
      </c>
      <c r="E7" s="143">
        <f>HLOOKUP("start",ESLData!F$1:F$9960,MATCH($A7,ESLData!$B$1:$B$9960,0))*-1</f>
        <v>1749418</v>
      </c>
      <c r="F7" s="148">
        <f>ROUND(E7,0)</f>
        <v>1749418</v>
      </c>
      <c r="G7" s="143">
        <f>HLOOKUP("start",ESLData!H$1:H$9960,MATCH($A7,ESLData!$B$1:$B$9960,0))*-1</f>
        <v>1702597.82</v>
      </c>
      <c r="H7" s="163">
        <f>ROUND(G7,0)</f>
        <v>1702598</v>
      </c>
      <c r="J7" s="156" t="s">
        <v>987</v>
      </c>
      <c r="K7" s="142" t="str">
        <f>IF(ISNA(HLOOKUP("start",ESLData!C$1:C$9960,MATCH($A7,ESLData!$B$1:$B$9960,0))),"",HLOOKUP("start",ESLData!C$1:C$9960,MATCH($A7,ESLData!$B$1:$B$9960,0)))</f>
        <v>Residential Grant</v>
      </c>
    </row>
    <row r="8" spans="1:18" ht="14.25" customHeight="1" x14ac:dyDescent="0.2">
      <c r="A8" s="144" t="s">
        <v>665</v>
      </c>
      <c r="C8" s="143" t="s">
        <v>560</v>
      </c>
      <c r="E8" s="143"/>
      <c r="G8" s="143"/>
      <c r="J8" s="156" t="s">
        <v>987</v>
      </c>
      <c r="K8" s="142" t="str">
        <f>IF(ISNA(HLOOKUP("start",ESLData!C$1:C$9960,MATCH($A8,ESLData!$B$1:$B$9960,0))),"",HLOOKUP("start",ESLData!C$1:C$9960,MATCH($A8,ESLData!$B$1:$B$9960,0)))</f>
        <v/>
      </c>
    </row>
    <row r="9" spans="1:18" ht="14.25" customHeight="1" x14ac:dyDescent="0.2">
      <c r="A9" s="144">
        <v>10200</v>
      </c>
      <c r="C9" s="143">
        <f>HLOOKUP("start",ESLData!E$1:E$9960,MATCH($A9,ESLData!$B$1:$B$9960,0))*-1</f>
        <v>113510.77</v>
      </c>
      <c r="E9" s="143">
        <f>HLOOKUP("start",ESLData!F$1:F$9960,MATCH($A9,ESLData!$B$1:$B$9960,0))*-1</f>
        <v>348845</v>
      </c>
      <c r="G9" s="143">
        <f>HLOOKUP("start",ESLData!H$1:H$9960,MATCH($A9,ESLData!$B$1:$B$9960,0))*-1</f>
        <v>477628.96</v>
      </c>
      <c r="J9" s="156" t="s">
        <v>987</v>
      </c>
      <c r="K9" s="142" t="str">
        <f>IF(ISNA(HLOOKUP("start",ESLData!C$1:C$9960,MATCH($A9,ESLData!$B$1:$B$9960,0))),"",HLOOKUP("start",ESLData!C$1:C$9960,MATCH($A9,ESLData!$B$1:$B$9960,0)))</f>
        <v>Attached Teachers RVI</v>
      </c>
    </row>
    <row r="10" spans="1:18" ht="14.25" customHeight="1" x14ac:dyDescent="0.2">
      <c r="A10" s="144">
        <v>10210</v>
      </c>
      <c r="C10" s="143">
        <f>HLOOKUP("start",ESLData!E$1:E$9960,MATCH($A10,ESLData!$B$1:$B$9960,0))*-1</f>
        <v>1200353.02</v>
      </c>
      <c r="D10" s="162">
        <f>ROUND(C9+C10,0)</f>
        <v>1313864</v>
      </c>
      <c r="E10" s="143">
        <f>HLOOKUP("start",ESLData!F$1:F$9960,MATCH($A10,ESLData!$B$1:$B$9960,0))*-1</f>
        <v>1200352</v>
      </c>
      <c r="F10" s="155">
        <f>ROUND(E9+E10,0)</f>
        <v>1549197</v>
      </c>
      <c r="G10" s="143">
        <f>HLOOKUP("start",ESLData!H$1:H$9960,MATCH($A10,ESLData!$B$1:$B$9960,0))*-1</f>
        <v>1030106.62</v>
      </c>
      <c r="H10" s="162">
        <f>ROUND(SUM(G9:G10),0)</f>
        <v>1507736</v>
      </c>
      <c r="J10" s="156" t="s">
        <v>987</v>
      </c>
      <c r="K10" s="142" t="str">
        <f>IF(ISNA(HLOOKUP("start",ESLData!C$1:C$9960,MATCH($A10,ESLData!$B$1:$B$9960,0))),"",HLOOKUP("start",ESLData!C$1:C$9960,MATCH($A10,ESLData!$B$1:$B$9960,0)))</f>
        <v>Attached Teachers RVI Travel</v>
      </c>
    </row>
    <row r="11" spans="1:18" ht="14.25" customHeight="1" x14ac:dyDescent="0.2">
      <c r="A11" s="144" t="s">
        <v>666</v>
      </c>
      <c r="C11" s="143" t="s">
        <v>561</v>
      </c>
      <c r="D11" s="152"/>
      <c r="E11" s="143"/>
      <c r="F11" s="152"/>
      <c r="G11" s="143"/>
      <c r="H11" s="152"/>
      <c r="J11" s="156" t="s">
        <v>987</v>
      </c>
      <c r="K11" s="142" t="str">
        <f>IF(ISNA(HLOOKUP("start",ESLData!C$1:C$9960,MATCH($A11,ESLData!$B$1:$B$9960,0))),"",HLOOKUP("start",ESLData!C$1:C$9960,MATCH($A11,ESLData!$B$1:$B$9960,0)))</f>
        <v/>
      </c>
    </row>
    <row r="12" spans="1:18" ht="14.25" customHeight="1" x14ac:dyDescent="0.2">
      <c r="A12" s="144">
        <v>10240</v>
      </c>
      <c r="C12" s="143">
        <f>HLOOKUP("start",ESLData!E$1:E$9960,MATCH($A12,ESLData!$B$1:$B$9960,0))*-1</f>
        <v>912637.33</v>
      </c>
      <c r="D12" s="162">
        <f>ROUND(C12,0)</f>
        <v>912637</v>
      </c>
      <c r="E12" s="143">
        <f>HLOOKUP("start",ESLData!F$1:F$9960,MATCH($A12,ESLData!$B$1:$B$9960,0))*-1</f>
        <v>912628</v>
      </c>
      <c r="F12" s="155">
        <f>ROUND(E12,0)</f>
        <v>912628</v>
      </c>
      <c r="G12" s="143">
        <f>HLOOKUP("start",ESLData!H$1:H$9960,MATCH($A12,ESLData!$B$1:$B$9960,0))*-1</f>
        <v>885605.16</v>
      </c>
      <c r="H12" s="162">
        <f>ROUND(G12,0)</f>
        <v>885605</v>
      </c>
      <c r="J12" s="156" t="s">
        <v>987</v>
      </c>
      <c r="K12" s="142" t="str">
        <f>IF(ISNA(HLOOKUP("start",ESLData!C$1:C$9960,MATCH($A12,ESLData!$B$1:$B$9960,0))),"",HLOOKUP("start",ESLData!C$1:C$9960,MATCH($A12,ESLData!$B$1:$B$9960,0)))</f>
        <v>Visual Resource Centre</v>
      </c>
    </row>
    <row r="13" spans="1:18" ht="14.25" customHeight="1" x14ac:dyDescent="0.2">
      <c r="A13" s="144" t="s">
        <v>667</v>
      </c>
      <c r="C13" s="143" t="s">
        <v>742</v>
      </c>
      <c r="D13" s="152"/>
      <c r="E13" s="143"/>
      <c r="F13" s="152"/>
      <c r="G13" s="143"/>
      <c r="H13" s="152"/>
      <c r="J13" s="156" t="s">
        <v>987</v>
      </c>
      <c r="K13" s="142" t="str">
        <f>IF(ISNA(HLOOKUP("start",ESLData!C$1:C$9960,MATCH($A13,ESLData!$B$1:$B$9960,0))),"",HLOOKUP("start",ESLData!C$1:C$9960,MATCH($A13,ESLData!$B$1:$B$9960,0)))</f>
        <v/>
      </c>
    </row>
    <row r="14" spans="1:18" ht="14.25" customHeight="1" x14ac:dyDescent="0.2">
      <c r="A14" s="144">
        <v>143</v>
      </c>
      <c r="C14" s="143">
        <f>HLOOKUP("start",ESLData!E$1:E$9960,MATCH($A14,ESLData!$B$1:$B$9960,0))*-1</f>
        <v>415599</v>
      </c>
      <c r="E14" s="143">
        <f>HLOOKUP("start",ESLData!F$1:F$9960,MATCH($A14,ESLData!$B$1:$B$9960,0))*-1</f>
        <v>0</v>
      </c>
      <c r="G14" s="143">
        <f>HLOOKUP("start",ESLData!H$1:H$9960,MATCH($A14,ESLData!$B$1:$B$9960,0))*-1</f>
        <v>488263</v>
      </c>
      <c r="J14" s="156" t="s">
        <v>987</v>
      </c>
      <c r="K14" s="142" t="str">
        <f>IF(ISNA(HLOOKUP("start",ESLData!C$1:C$9960,MATCH($A14,ESLData!$B$1:$B$9960,0))),"",HLOOKUP("start",ESLData!C$1:C$9960,MATCH($A14,ESLData!$B$1:$B$9960,0)))</f>
        <v>Staff Banking Year End Wash-up</v>
      </c>
    </row>
    <row r="15" spans="1:18" ht="14.25" customHeight="1" x14ac:dyDescent="0.2">
      <c r="A15" s="144">
        <v>141</v>
      </c>
      <c r="C15" s="143">
        <f>HLOOKUP("start",ESLData!E$1:E$9960,MATCH($A15,ESLData!$B$1:$B$9960,0))*-1</f>
        <v>0</v>
      </c>
      <c r="E15" s="143">
        <f>HLOOKUP("start",ESLData!F$1:F$9960,MATCH($A15,ESLData!$B$1:$B$9960,0))*-1</f>
        <v>0</v>
      </c>
      <c r="G15" s="143">
        <f>HLOOKUP("start",ESLData!H$1:H$9960,MATCH($A15,ESLData!$B$1:$B$9960,0))*-1</f>
        <v>16465.900000000001</v>
      </c>
      <c r="J15" s="156"/>
    </row>
    <row r="16" spans="1:18" ht="14.25" customHeight="1" x14ac:dyDescent="0.2">
      <c r="A16" s="144">
        <v>10290</v>
      </c>
      <c r="C16" s="143">
        <f>HLOOKUP("start",ESLData!E$1:E$9960,MATCH($A16,ESLData!$B$1:$B$9960,0))*-1</f>
        <v>13679767</v>
      </c>
      <c r="D16" s="162">
        <f>ROUND(SUM(C14:C16),0)</f>
        <v>14095366</v>
      </c>
      <c r="E16" s="143">
        <f>HLOOKUP("start",ESLData!F$1:F$9960,MATCH($A16,ESLData!$B$1:$B$9960,0))*-1</f>
        <v>12500000</v>
      </c>
      <c r="F16" s="162">
        <f>ROUND(SUM(E14:E16),0)</f>
        <v>12500000</v>
      </c>
      <c r="G16" s="143">
        <f>HLOOKUP("start",ESLData!H$1:H$9960,MATCH($A16,ESLData!$B$1:$B$9960,0))*-1</f>
        <v>12369060</v>
      </c>
      <c r="H16" s="162">
        <f>ROUND(SUM(G14:G16),0)</f>
        <v>12873789</v>
      </c>
      <c r="J16" s="156" t="s">
        <v>987</v>
      </c>
      <c r="K16" s="142" t="str">
        <f>IF(ISNA(HLOOKUP("start",ESLData!C$1:C$9960,MATCH($A16,ESLData!$B$1:$B$9960,0))),"",HLOOKUP("start",ESLData!C$1:C$9960,MATCH($A16,ESLData!$B$1:$B$9960,0)))</f>
        <v>Teachers Salaries Grant</v>
      </c>
    </row>
    <row r="17" spans="1:12" ht="14.25" customHeight="1" x14ac:dyDescent="0.2">
      <c r="A17" s="144" t="s">
        <v>668</v>
      </c>
      <c r="C17" s="143" t="s">
        <v>743</v>
      </c>
      <c r="E17" s="143"/>
      <c r="G17" s="143"/>
      <c r="J17" s="156" t="s">
        <v>987</v>
      </c>
      <c r="K17" s="142" t="str">
        <f>IF(ISNA(HLOOKUP("start",ESLData!C$1:C$9960,MATCH($A17,ESLData!$B$1:$B$9960,0))),"",HLOOKUP("start",ESLData!C$1:C$9960,MATCH($A17,ESLData!$B$1:$B$9960,0)))</f>
        <v/>
      </c>
    </row>
    <row r="18" spans="1:12" ht="14.25" customHeight="1" x14ac:dyDescent="0.2">
      <c r="A18" s="144">
        <v>10300</v>
      </c>
      <c r="C18" s="143">
        <f>HLOOKUP("start",ESLData!E$1:E$9960,MATCH($A18,ESLData!$B$1:$B$9960,0))*-1</f>
        <v>1143200.03</v>
      </c>
      <c r="E18" s="143">
        <f>HLOOKUP("start",ESLData!F$1:F$9960,MATCH($A18,ESLData!$B$1:$B$9960,0))*-1</f>
        <v>1146654</v>
      </c>
      <c r="G18" s="143">
        <f>HLOOKUP("start",ESLData!H$1:H$9960,MATCH($A18,ESLData!$B$1:$B$9960,0))*-1</f>
        <v>1084396.08</v>
      </c>
      <c r="J18" s="156" t="s">
        <v>987</v>
      </c>
      <c r="K18" s="142" t="str">
        <f>IF(ISNA(HLOOKUP("start",ESLData!C$1:C$9960,MATCH($A18,ESLData!$B$1:$B$9960,0))),"",HLOOKUP("start",ESLData!C$1:C$9960,MATCH($A18,ESLData!$B$1:$B$9960,0)))</f>
        <v>ORS - Homai Campus School</v>
      </c>
    </row>
    <row r="19" spans="1:12" ht="14.25" customHeight="1" x14ac:dyDescent="0.2">
      <c r="A19" s="144">
        <v>10310</v>
      </c>
      <c r="C19" s="143">
        <f>HLOOKUP("start",ESLData!E$1:E$9960,MATCH($A19,ESLData!$B$1:$B$9960,0))*-1</f>
        <v>0</v>
      </c>
      <c r="E19" s="143">
        <f>HLOOKUP("start",ESLData!F$1:F$9960,MATCH($A19,ESLData!$B$1:$B$9960,0))*-1</f>
        <v>0</v>
      </c>
      <c r="G19" s="143">
        <f>HLOOKUP("start",ESLData!H$1:H$9960,MATCH($A19,ESLData!$B$1:$B$9960,0))*-1</f>
        <v>0</v>
      </c>
      <c r="J19" s="156" t="s">
        <v>987</v>
      </c>
      <c r="K19" s="142" t="str">
        <f>IF(ISNA(HLOOKUP("start",ESLData!C$1:C$9960,MATCH($A19,ESLData!$B$1:$B$9960,0))),"",HLOOKUP("start",ESLData!C$1:C$9960,MATCH($A19,ESLData!$B$1:$B$9960,0)))</f>
        <v>ORS - Aggregated (Admin)</v>
      </c>
    </row>
    <row r="20" spans="1:12" ht="14.25" customHeight="1" x14ac:dyDescent="0.2">
      <c r="A20" s="144">
        <v>10315</v>
      </c>
      <c r="C20" s="143">
        <f>HLOOKUP("start",ESLData!E$1:E$9960,MATCH($A20,ESLData!$B$1:$B$9960,0))*-1</f>
        <v>0</v>
      </c>
      <c r="E20" s="143">
        <f>HLOOKUP("start",ESLData!F$1:F$9960,MATCH($A20,ESLData!$B$1:$B$9960,0))*-1</f>
        <v>0</v>
      </c>
      <c r="G20" s="143">
        <f>HLOOKUP("start",ESLData!H$1:H$9960,MATCH($A20,ESLData!$B$1:$B$9960,0))*-1</f>
        <v>0</v>
      </c>
      <c r="J20" s="156" t="s">
        <v>987</v>
      </c>
      <c r="K20" s="142" t="str">
        <f>IF(ISNA(HLOOKUP("start",ESLData!C$1:C$9960,MATCH($A20,ESLData!$B$1:$B$9960,0))),"",HLOOKUP("start",ESLData!C$1:C$9960,MATCH($A20,ESLData!$B$1:$B$9960,0)))</f>
        <v>ORS - Aggregated (Travel)</v>
      </c>
    </row>
    <row r="21" spans="1:12" ht="14.25" customHeight="1" x14ac:dyDescent="0.2">
      <c r="A21" s="144">
        <v>10316</v>
      </c>
      <c r="C21" s="143">
        <f>HLOOKUP("start",ESLData!E$1:E$9960,MATCH($A21,ESLData!$B$1:$B$9960,0))*-1</f>
        <v>0</v>
      </c>
      <c r="E21" s="143">
        <f>HLOOKUP("start",ESLData!F$1:F$9960,MATCH($A21,ESLData!$B$1:$B$9960,0))*-1</f>
        <v>0</v>
      </c>
      <c r="G21" s="143">
        <f>HLOOKUP("start",ESLData!H$1:H$9960,MATCH($A21,ESLData!$B$1:$B$9960,0))*-1</f>
        <v>0</v>
      </c>
      <c r="J21" s="156" t="s">
        <v>987</v>
      </c>
      <c r="K21" s="142" t="str">
        <f>IF(ISNA(HLOOKUP("start",ESLData!C$1:C$9960,MATCH($A21,ESLData!$B$1:$B$9960,0))),"",HLOOKUP("start",ESLData!C$1:C$9960,MATCH($A21,ESLData!$B$1:$B$9960,0)))</f>
        <v>ORS Aggregated (Base)</v>
      </c>
    </row>
    <row r="22" spans="1:12" ht="14.25" customHeight="1" x14ac:dyDescent="0.2">
      <c r="A22" s="144">
        <v>10317</v>
      </c>
      <c r="C22" s="143">
        <f>HLOOKUP("start",ESLData!E$1:E$9960,MATCH($A22,ESLData!$B$1:$B$9960,0))*-1</f>
        <v>0</v>
      </c>
      <c r="D22" s="162">
        <f>ROUND(SUM(C18:C22),0)</f>
        <v>1143200</v>
      </c>
      <c r="E22" s="143">
        <f>HLOOKUP("start",ESLData!F$1:F$9960,MATCH($A22,ESLData!$B$1:$B$9960,0))*-1</f>
        <v>0</v>
      </c>
      <c r="F22" s="155">
        <f>ROUND(SUM(E18:E22),0)</f>
        <v>1146654</v>
      </c>
      <c r="G22" s="143">
        <f>HLOOKUP("start",ESLData!H$1:H$9960,MATCH($A22,ESLData!$B$1:$B$9960,0))*-1</f>
        <v>0</v>
      </c>
      <c r="H22" s="162">
        <f>ROUND(SUM(G18:G22),0)</f>
        <v>1084396</v>
      </c>
      <c r="J22" s="156" t="s">
        <v>987</v>
      </c>
      <c r="K22" s="142" t="str">
        <f>IF(ISNA(HLOOKUP("start",ESLData!C$1:C$9960,MATCH($A22,ESLData!$B$1:$B$9960,0))),"",HLOOKUP("start",ESLData!C$1:C$9960,MATCH($A22,ESLData!$B$1:$B$9960,0)))</f>
        <v>Teacher Aide PD MOE grants</v>
      </c>
    </row>
    <row r="23" spans="1:12" ht="14.25" customHeight="1" x14ac:dyDescent="0.2">
      <c r="A23" s="144" t="s">
        <v>669</v>
      </c>
      <c r="C23" s="143" t="s">
        <v>744</v>
      </c>
      <c r="E23" s="143"/>
      <c r="G23" s="143"/>
      <c r="J23" s="156" t="s">
        <v>987</v>
      </c>
      <c r="K23" s="142" t="str">
        <f>IF(ISNA(HLOOKUP("start",ESLData!C$1:C$9960,MATCH($A23,ESLData!$B$1:$B$9960,0))),"",HLOOKUP("start",ESLData!C$1:C$9960,MATCH($A23,ESLData!$B$1:$B$9960,0)))</f>
        <v/>
      </c>
    </row>
    <row r="24" spans="1:12" ht="14.25" customHeight="1" x14ac:dyDescent="0.2">
      <c r="A24" s="144">
        <v>10282</v>
      </c>
      <c r="C24" s="143">
        <f>HLOOKUP("start",ESLData!E$1:E$9960,MATCH($A24,ESLData!$B$1:$B$9960,0))*-1</f>
        <v>16984.310000000001</v>
      </c>
      <c r="D24" s="162">
        <f>ROUND(C24,0)</f>
        <v>16984</v>
      </c>
      <c r="E24" s="143">
        <f>HLOOKUP("start",ESLData!F$1:F$9960,MATCH($A24,ESLData!$B$1:$B$9960,0))*-1</f>
        <v>17065</v>
      </c>
      <c r="F24" s="155">
        <f>ROUND(E24,0)</f>
        <v>17065</v>
      </c>
      <c r="G24" s="143">
        <f>HLOOKUP("start",ESLData!H$1:H$9960,MATCH($A24,ESLData!$B$1:$B$9960,0))*-1</f>
        <v>16528.68</v>
      </c>
      <c r="H24" s="162">
        <f>ROUND(G24,0)</f>
        <v>16529</v>
      </c>
      <c r="J24" s="156" t="s">
        <v>987</v>
      </c>
      <c r="K24" s="142" t="str">
        <f>IF(ISNA(HLOOKUP("start",ESLData!C$1:C$9960,MATCH($A24,ESLData!$B$1:$B$9960,0))),"",HLOOKUP("start",ESLData!C$1:C$9960,MATCH($A24,ESLData!$B$1:$B$9960,0)))</f>
        <v>DOA - Board Support</v>
      </c>
    </row>
    <row r="25" spans="1:12" ht="14.25" customHeight="1" x14ac:dyDescent="0.2">
      <c r="A25" s="144" t="s">
        <v>670</v>
      </c>
      <c r="C25" s="143" t="s">
        <v>745</v>
      </c>
      <c r="E25" s="143"/>
      <c r="G25" s="143"/>
      <c r="J25" s="156" t="s">
        <v>987</v>
      </c>
      <c r="K25" s="142" t="str">
        <f>IF(ISNA(HLOOKUP("start",ESLData!C$1:C$9960,MATCH($A25,ESLData!$B$1:$B$9960,0))),"",HLOOKUP("start",ESLData!C$1:C$9960,MATCH($A25,ESLData!$B$1:$B$9960,0)))</f>
        <v/>
      </c>
    </row>
    <row r="26" spans="1:12" ht="14.25" customHeight="1" x14ac:dyDescent="0.2">
      <c r="A26" s="144">
        <v>10283</v>
      </c>
      <c r="C26" s="143">
        <f>HLOOKUP("start",ESLData!E$1:E$9960,MATCH($A26,ESLData!$B$1:$B$9960,0))*-1</f>
        <v>638272.19999999995</v>
      </c>
      <c r="D26" s="162">
        <f>ROUND(C26,0)</f>
        <v>638272</v>
      </c>
      <c r="E26" s="143">
        <f>HLOOKUP("start",ESLData!F$1:F$9960,MATCH($A26,ESLData!$B$1:$B$9960,0))*-1</f>
        <v>638273</v>
      </c>
      <c r="F26" s="155">
        <f>ROUND(E26,0)</f>
        <v>638273</v>
      </c>
      <c r="G26" s="143">
        <f>HLOOKUP("start",ESLData!H$1:H$9960,MATCH($A26,ESLData!$B$1:$B$9960,0))*-1</f>
        <v>621187.68000000005</v>
      </c>
      <c r="H26" s="162">
        <f>ROUND(G26,0)</f>
        <v>621188</v>
      </c>
      <c r="J26" s="156" t="s">
        <v>987</v>
      </c>
      <c r="K26" s="142" t="str">
        <f>IF(ISNA(HLOOKUP("start",ESLData!C$1:C$9960,MATCH($A26,ESLData!$B$1:$B$9960,0))),"",HLOOKUP("start",ESLData!C$1:C$9960,MATCH($A26,ESLData!$B$1:$B$9960,0)))</f>
        <v>DOA - Assessment &amp; Training</v>
      </c>
    </row>
    <row r="27" spans="1:12" ht="14.25" customHeight="1" x14ac:dyDescent="0.2">
      <c r="A27" s="145" t="s">
        <v>686</v>
      </c>
      <c r="C27" s="143" t="s">
        <v>746</v>
      </c>
      <c r="E27" s="143"/>
      <c r="G27" s="143"/>
      <c r="J27" s="156" t="s">
        <v>987</v>
      </c>
      <c r="K27" s="142" t="str">
        <f>IF(ISNA(HLOOKUP("start",ESLData!C$1:C$9960,MATCH($A27,ESLData!$B$1:$B$9960,0))),"",HLOOKUP("start",ESLData!C$1:C$9960,MATCH($A27,ESLData!$B$1:$B$9960,0)))</f>
        <v/>
      </c>
    </row>
    <row r="28" spans="1:12" ht="14.25" customHeight="1" x14ac:dyDescent="0.2">
      <c r="A28" s="145">
        <v>10288</v>
      </c>
      <c r="C28" s="143">
        <f>HLOOKUP("start",ESLData!E$1:E$9960,MATCH($A28,ESLData!$B$1:$B$9960,0))*-1</f>
        <v>1295677.71</v>
      </c>
      <c r="D28" s="162">
        <f>ROUND(C28,0)</f>
        <v>1295678</v>
      </c>
      <c r="E28" s="143">
        <f>HLOOKUP("start",ESLData!F$1:F$9960,MATCH($A28,ESLData!$B$1:$B$9960,0))*-1</f>
        <v>1293055</v>
      </c>
      <c r="F28" s="155">
        <f>ROUND(E28,0)</f>
        <v>1293055</v>
      </c>
      <c r="G28" s="143">
        <f>HLOOKUP("start",ESLData!H$1:H$9960,MATCH($A28,ESLData!$B$1:$B$9960,0))*-1</f>
        <v>1108328.6399999999</v>
      </c>
      <c r="H28" s="162">
        <f>ROUND(G28,0)</f>
        <v>1108329</v>
      </c>
      <c r="J28" s="156" t="s">
        <v>987</v>
      </c>
      <c r="K28" s="142" t="str">
        <f>IF(ISNA(HLOOKUP("start",ESLData!C$1:C$9960,MATCH($A28,ESLData!$B$1:$B$9960,0))),"",HLOOKUP("start",ESLData!C$1:C$9960,MATCH($A28,ESLData!$B$1:$B$9960,0)))</f>
        <v>Regional Specialist Services</v>
      </c>
      <c r="L28" s="146" t="s">
        <v>781</v>
      </c>
    </row>
    <row r="29" spans="1:12" ht="14.25" customHeight="1" x14ac:dyDescent="0.2">
      <c r="A29" s="144" t="s">
        <v>671</v>
      </c>
      <c r="C29" s="143" t="s">
        <v>747</v>
      </c>
      <c r="E29" s="143"/>
      <c r="G29" s="143"/>
      <c r="J29" s="156" t="s">
        <v>987</v>
      </c>
      <c r="K29" s="142" t="str">
        <f>IF(ISNA(HLOOKUP("start",ESLData!C$1:C$9960,MATCH($A29,ESLData!$B$1:$B$9960,0))),"",HLOOKUP("start",ESLData!C$1:C$9960,MATCH($A29,ESLData!$B$1:$B$9960,0)))</f>
        <v/>
      </c>
    </row>
    <row r="30" spans="1:12" ht="14.25" customHeight="1" x14ac:dyDescent="0.2">
      <c r="A30" s="144">
        <v>1900</v>
      </c>
      <c r="C30" s="143">
        <f>HLOOKUP("start",ESLData!E$1:E$9960,MATCH($A30,ESLData!$B$1:$B$9960,0))*-1</f>
        <v>2193216.8199999998</v>
      </c>
      <c r="D30" s="162">
        <f>ROUND(C30,0)</f>
        <v>2193217</v>
      </c>
      <c r="E30" s="143">
        <f>HLOOKUP("start",ESLData!F$1:F$9960,MATCH($A30,ESLData!$B$1:$B$9960,0))*-1</f>
        <v>1420415</v>
      </c>
      <c r="F30" s="162">
        <f>ROUND(E30,0)</f>
        <v>1420415</v>
      </c>
      <c r="G30" s="143">
        <f>HLOOKUP("start",ESLData!H$1:H$9960,MATCH($A30,ESLData!$B$1:$B$9960,0))*-1</f>
        <v>1633477</v>
      </c>
      <c r="H30" s="155">
        <f>ROUND(G30,0)</f>
        <v>1633477</v>
      </c>
      <c r="J30" s="156" t="s">
        <v>987</v>
      </c>
      <c r="K30" s="142" t="str">
        <f>IF(ISNA(HLOOKUP("start",ESLData!C$1:C$9960,MATCH($A30,ESLData!$B$1:$B$9960,0))),"",HLOOKUP("start",ESLData!C$1:C$9960,MATCH($A30,ESLData!$B$1:$B$9960,0)))</f>
        <v>Use of Land and Buildings</v>
      </c>
    </row>
    <row r="31" spans="1:12" ht="14.25" customHeight="1" x14ac:dyDescent="0.2">
      <c r="A31" s="144" t="s">
        <v>748</v>
      </c>
      <c r="C31" s="143" t="s">
        <v>749</v>
      </c>
      <c r="E31" s="143"/>
      <c r="G31" s="143"/>
      <c r="J31" s="156" t="s">
        <v>987</v>
      </c>
      <c r="K31" s="142" t="str">
        <f>IF(ISNA(HLOOKUP("start",ESLData!C$1:C$9960,MATCH($A31,ESLData!$B$1:$B$9960,0))),"",HLOOKUP("start",ESLData!C$1:C$9960,MATCH($A31,ESLData!$B$1:$B$9960,0)))</f>
        <v/>
      </c>
    </row>
    <row r="32" spans="1:12" ht="14.25" customHeight="1" x14ac:dyDescent="0.2">
      <c r="A32" s="144">
        <v>25100</v>
      </c>
      <c r="C32" s="143">
        <f>HLOOKUP("start",ESLData!E$1:E$9960,MATCH($A32,ESLData!$B$1:$B$9960,0))*-1</f>
        <v>235304.34</v>
      </c>
      <c r="E32" s="143">
        <f>HLOOKUP("start",ESLData!F$1:F$9960,MATCH($A32,ESLData!$B$1:$B$9960,0))*-1</f>
        <v>297000</v>
      </c>
      <c r="G32" s="143">
        <f>HLOOKUP("start",ESLData!H$1:H$9960,MATCH($A32,ESLData!$B$1:$B$9960,0))*-1</f>
        <v>232793.92</v>
      </c>
      <c r="I32" s="146"/>
      <c r="J32" s="156" t="s">
        <v>987</v>
      </c>
      <c r="K32" s="142" t="str">
        <f>IF(ISNA(HLOOKUP("start",ESLData!C$1:C$9960,MATCH($A32,ESLData!$B$1:$B$9960,0))),"",HLOOKUP("start",ESLData!C$1:C$9960,MATCH($A32,ESLData!$B$1:$B$9960,0)))</f>
        <v>MOE Study Award Income</v>
      </c>
    </row>
    <row r="33" spans="1:11" ht="14.25" customHeight="1" x14ac:dyDescent="0.2">
      <c r="A33" s="145">
        <v>10318</v>
      </c>
      <c r="C33" s="143">
        <f>HLOOKUP("start",ESLData!E$1:E$9960,MATCH($A33,ESLData!$B$1:$B$9960,0))*-1</f>
        <v>189940.8</v>
      </c>
      <c r="E33" s="143">
        <f>HLOOKUP("start",ESLData!F$1:F$9960,MATCH($A33,ESLData!$B$1:$B$9960,0))*-1</f>
        <v>189940</v>
      </c>
      <c r="G33" s="143">
        <f>HLOOKUP("start",ESLData!H$1:H$9960,MATCH($A33,ESLData!$B$1:$B$9960,0))*-1</f>
        <v>369511.24</v>
      </c>
      <c r="J33" s="156" t="s">
        <v>987</v>
      </c>
      <c r="K33" s="142" t="str">
        <f>IF(ISNA(HLOOKUP("start",ESLData!C$1:C$9960,MATCH($A33,ESLData!$B$1:$B$9960,0))),"",HLOOKUP("start",ESLData!C$1:C$9960,MATCH($A33,ESLData!$B$1:$B$9960,0)))</f>
        <v>ECC Grants</v>
      </c>
    </row>
    <row r="34" spans="1:11" ht="14.25" customHeight="1" x14ac:dyDescent="0.2">
      <c r="A34" s="145">
        <v>149</v>
      </c>
      <c r="C34" s="143">
        <f>HLOOKUP("start",ESLData!E$1:E$9960,MATCH($A34,ESLData!$B$1:$B$9960,0))*-1</f>
        <v>38867.61</v>
      </c>
      <c r="E34" s="143">
        <f>HLOOKUP("start",ESLData!F$1:F$9960,MATCH($A34,ESLData!$B$1:$B$9960,0))*-1</f>
        <v>0</v>
      </c>
      <c r="G34" s="143">
        <f>HLOOKUP("start",ESLData!H$1:H$9960,MATCH($A34,ESLData!$B$1:$B$9960,0))*-1</f>
        <v>36369.620000000003</v>
      </c>
      <c r="J34" s="156" t="s">
        <v>987</v>
      </c>
      <c r="K34" s="142" t="str">
        <f>IF(ISNA(HLOOKUP("start",ESLData!C$1:C$9960,MATCH($A34,ESLData!$B$1:$B$9960,0))),"",HLOOKUP("start",ESLData!C$1:C$9960,MATCH($A34,ESLData!$B$1:$B$9960,0)))</f>
        <v>TRL Lease MOE Portion Finance</v>
      </c>
    </row>
    <row r="35" spans="1:11" ht="14.25" customHeight="1" x14ac:dyDescent="0.2">
      <c r="A35" s="145">
        <v>129</v>
      </c>
      <c r="C35" s="143">
        <f>HLOOKUP("start",ESLData!E$1:E$9960,MATCH($A35,ESLData!$B$1:$B$9960,0))*-1</f>
        <v>147658.99</v>
      </c>
      <c r="E35" s="143">
        <f>HLOOKUP("start",ESLData!F$1:F$9960,MATCH($A35,ESLData!$B$1:$B$9960,0))*-1</f>
        <v>0</v>
      </c>
      <c r="G35" s="143">
        <f>HLOOKUP("start",ESLData!H$1:H$9960,MATCH($A35,ESLData!$B$1:$B$9960,0))*-1</f>
        <v>399380.87</v>
      </c>
      <c r="J35" s="156" t="s">
        <v>987</v>
      </c>
      <c r="K35" s="142" t="str">
        <f>IF(ISNA(HLOOKUP("start",ESLData!C$1:C$9960,MATCH($A35,ESLData!$B$1:$B$9960,0))),"",HLOOKUP("start",ESLData!C$1:C$9960,MATCH($A35,ESLData!$B$1:$B$9960,0)))</f>
        <v>Salary Support Grant</v>
      </c>
    </row>
    <row r="36" spans="1:11" ht="14.25" customHeight="1" x14ac:dyDescent="0.2">
      <c r="A36" s="145">
        <v>139</v>
      </c>
      <c r="C36" s="143">
        <f>HLOOKUP("start",ESLData!E$1:E$9960,MATCH($A36,ESLData!$B$1:$B$9960,0))*-1</f>
        <v>0</v>
      </c>
      <c r="E36" s="143">
        <f>HLOOKUP("start",ESLData!F$1:F$9960,MATCH($A36,ESLData!$B$1:$B$9960,0))*-1</f>
        <v>0</v>
      </c>
      <c r="G36" s="143">
        <f>HLOOKUP("start",ESLData!H$1:H$9960,MATCH($A36,ESLData!$B$1:$B$9960,0))*-1</f>
        <v>0</v>
      </c>
      <c r="J36" s="156" t="s">
        <v>987</v>
      </c>
      <c r="K36" s="142" t="str">
        <f>IF(ISNA(HLOOKUP("start",ESLData!C$1:C$9960,MATCH($A36,ESLData!$B$1:$B$9960,0))),"",HLOOKUP("start",ESLData!C$1:C$9960,MATCH($A36,ESLData!$B$1:$B$9960,0)))</f>
        <v>Other Operational Grants</v>
      </c>
    </row>
    <row r="37" spans="1:11" ht="14.25" customHeight="1" x14ac:dyDescent="0.2">
      <c r="A37" s="145">
        <v>146</v>
      </c>
      <c r="C37" s="143">
        <f>HLOOKUP("start",ESLData!E$1:E$9960,MATCH($A37,ESLData!$B$1:$B$9960,0))*-1</f>
        <v>-815</v>
      </c>
      <c r="E37" s="143">
        <f>HLOOKUP("start",ESLData!F$1:F$9960,MATCH($A37,ESLData!$B$1:$B$9960,0))*-1</f>
        <v>0</v>
      </c>
      <c r="G37" s="143">
        <f>HLOOKUP("start",ESLData!H$1:H$9960,MATCH($A37,ESLData!$B$1:$B$9960,0))*-1</f>
        <v>511.32</v>
      </c>
      <c r="J37" s="156" t="s">
        <v>987</v>
      </c>
      <c r="K37" s="142" t="str">
        <f>IF(ISNA(HLOOKUP("start",ESLData!C$1:C$9960,MATCH($A37,ESLData!$B$1:$B$9960,0))),"",HLOOKUP("start",ESLData!C$1:C$9960,MATCH($A37,ESLData!$B$1:$B$9960,0)))</f>
        <v>Risk Management Premium</v>
      </c>
    </row>
    <row r="38" spans="1:11" ht="14.25" customHeight="1" x14ac:dyDescent="0.2">
      <c r="A38" s="145">
        <v>148</v>
      </c>
      <c r="C38" s="143">
        <f>HLOOKUP("start",ESLData!E$1:E$9960,MATCH($A38,ESLData!$B$1:$B$9960,0))*-1</f>
        <v>0</v>
      </c>
      <c r="E38" s="143">
        <f>HLOOKUP("start",ESLData!F$1:F$9960,MATCH($A38,ESLData!$B$1:$B$9960,0))*-1</f>
        <v>0</v>
      </c>
      <c r="G38" s="143">
        <f>HLOOKUP("start",ESLData!H$1:H$9960,MATCH($A38,ESLData!$B$1:$B$9960,0))*-1</f>
        <v>0</v>
      </c>
      <c r="J38" s="156" t="s">
        <v>987</v>
      </c>
      <c r="K38" s="142" t="str">
        <f>IF(ISNA(HLOOKUP("start",ESLData!C$1:C$9960,MATCH($A38,ESLData!$B$1:$B$9960,0))),"",HLOOKUP("start",ESLData!C$1:C$9960,MATCH($A38,ESLData!$B$1:$B$9960,0)))</f>
        <v>MOE Portion of Operating Leases</v>
      </c>
    </row>
    <row r="39" spans="1:11" ht="14.25" customHeight="1" x14ac:dyDescent="0.2">
      <c r="A39" s="145">
        <v>179</v>
      </c>
      <c r="C39" s="143">
        <f>HLOOKUP("start",ESLData!E$1:E$9960,MATCH($A39,ESLData!$B$1:$B$9960,0))*-1</f>
        <v>779.13</v>
      </c>
      <c r="E39" s="143">
        <f>HLOOKUP("start",ESLData!F$1:F$9960,MATCH($A39,ESLData!$B$1:$B$9960,0))*-1</f>
        <v>0</v>
      </c>
      <c r="G39" s="143">
        <f>HLOOKUP("start",ESLData!H$1:H$9960,MATCH($A39,ESLData!$B$1:$B$9960,0))*-1</f>
        <v>3766</v>
      </c>
      <c r="J39" s="156"/>
    </row>
    <row r="40" spans="1:11" ht="14.25" customHeight="1" x14ac:dyDescent="0.2">
      <c r="A40" s="145">
        <v>10241</v>
      </c>
      <c r="C40" s="143">
        <f>HLOOKUP("start",ESLData!E$1:E$9960,MATCH($A40,ESLData!$B$1:$B$9960,0))*-1</f>
        <v>225249.98</v>
      </c>
      <c r="E40" s="143">
        <f>HLOOKUP("start",ESLData!F$1:F$9960,MATCH($A40,ESLData!$B$1:$B$9960,0))*-1</f>
        <v>225250</v>
      </c>
      <c r="G40" s="143">
        <f>HLOOKUP("start",ESLData!H$1:H$9960,MATCH($A40,ESLData!$B$1:$B$9960,0))*-1</f>
        <v>41666.959999999999</v>
      </c>
      <c r="J40" s="156"/>
    </row>
    <row r="41" spans="1:11" ht="14.25" customHeight="1" x14ac:dyDescent="0.2">
      <c r="A41" s="145">
        <v>10242</v>
      </c>
      <c r="C41" s="143">
        <f>HLOOKUP("start",ESLData!E$1:E$9960,MATCH($A41,ESLData!$B$1:$B$9960,0))*-1</f>
        <v>668133.01</v>
      </c>
      <c r="E41" s="143">
        <f>HLOOKUP("start",ESLData!F$1:F$9960,MATCH($A41,ESLData!$B$1:$B$9960,0))*-1</f>
        <v>668133</v>
      </c>
      <c r="G41" s="143">
        <f>HLOOKUP("start",ESLData!H$1:H$9960,MATCH($A41,ESLData!$B$1:$B$9960,0))*-1</f>
        <v>0</v>
      </c>
      <c r="J41" s="156"/>
    </row>
    <row r="42" spans="1:11" ht="14.25" customHeight="1" x14ac:dyDescent="0.2">
      <c r="A42" s="145">
        <v>10400</v>
      </c>
      <c r="C42" s="143">
        <f>HLOOKUP("start",ESLData!E$1:E$9960,MATCH($A42,ESLData!$B$1:$B$9960,0))*-1</f>
        <v>64449.55</v>
      </c>
      <c r="E42" s="143">
        <f>HLOOKUP("start",ESLData!F$1:F$9960,MATCH($A42,ESLData!$B$1:$B$9960,0))*-1</f>
        <v>77546</v>
      </c>
      <c r="G42" s="143">
        <f>HLOOKUP("start",ESLData!H$1:H$9960,MATCH($A42,ESLData!$B$1:$B$9960,0))*-1</f>
        <v>69419.8</v>
      </c>
      <c r="J42" s="156" t="s">
        <v>987</v>
      </c>
      <c r="K42" s="142" t="str">
        <f>IF(ISNA(HLOOKUP("start",ESLData!C$1:C$9960,MATCH($A42,ESLData!$B$1:$B$9960,0))),"",HLOOKUP("start",ESLData!C$1:C$9960,MATCH($A42,ESLData!$B$1:$B$9960,0)))</f>
        <v>ACC Teacher Aide</v>
      </c>
    </row>
    <row r="43" spans="1:11" ht="14.25" customHeight="1" x14ac:dyDescent="0.2">
      <c r="A43" s="145">
        <v>10401</v>
      </c>
      <c r="C43" s="143">
        <f>HLOOKUP("start",ESLData!E$1:E$9960,MATCH($A43,ESLData!$B$1:$B$9960,0))*-1</f>
        <v>50594.7</v>
      </c>
      <c r="E43" s="143">
        <f>HLOOKUP("start",ESLData!F$1:F$9960,MATCH($A43,ESLData!$B$1:$B$9960,0))*-1</f>
        <v>0</v>
      </c>
      <c r="G43" s="143">
        <f>HLOOKUP("start",ESLData!H$1:H$9960,MATCH($A43,ESLData!$B$1:$B$9960,0))*-1</f>
        <v>77930.710000000006</v>
      </c>
      <c r="J43" s="156"/>
    </row>
    <row r="44" spans="1:11" ht="14.25" customHeight="1" x14ac:dyDescent="0.2">
      <c r="A44" s="145">
        <v>10410</v>
      </c>
      <c r="C44" s="143">
        <f>HLOOKUP("start",ESLData!E$1:E$9960,MATCH($A44,ESLData!$B$1:$B$9960,0))*-1</f>
        <v>34299.660000000003</v>
      </c>
      <c r="E44" s="143">
        <f>HLOOKUP("start",ESLData!F$1:F$9960,MATCH($A44,ESLData!$B$1:$B$9960,0))*-1</f>
        <v>0</v>
      </c>
      <c r="G44" s="143">
        <f>HLOOKUP("start",ESLData!H$1:H$9960,MATCH($A44,ESLData!$B$1:$B$9960,0))*-1</f>
        <v>28752.1</v>
      </c>
      <c r="J44" s="156" t="s">
        <v>987</v>
      </c>
      <c r="K44" s="142" t="str">
        <f>IF(ISNA(HLOOKUP("start",ESLData!C$1:C$9960,MATCH($A44,ESLData!$B$1:$B$9960,0))),"",HLOOKUP("start",ESLData!C$1:C$9960,MATCH($A44,ESLData!$B$1:$B$9960,0)))</f>
        <v>Other Grants</v>
      </c>
    </row>
    <row r="45" spans="1:11" ht="14.25" customHeight="1" x14ac:dyDescent="0.2">
      <c r="A45" s="145">
        <v>10289</v>
      </c>
      <c r="C45" s="143">
        <f>HLOOKUP("start",ESLData!E$1:E$9960,MATCH($A45,ESLData!$B$1:$B$9960,0))*-1</f>
        <v>0</v>
      </c>
      <c r="D45" s="162">
        <f>ROUND(SUM(C32:C45),0)</f>
        <v>1654463</v>
      </c>
      <c r="E45" s="143">
        <f>HLOOKUP("start",ESLData!F$1:F$9960,MATCH($A45,ESLData!$B$1:$B$9960,0))*-1</f>
        <v>0</v>
      </c>
      <c r="F45" s="155">
        <f>ROUND(SUM(E32:E45),0)</f>
        <v>1457869</v>
      </c>
      <c r="G45" s="143">
        <f>HLOOKUP("start",ESLData!H$1:H$9960,MATCH($A45,ESLData!$B$1:$B$9960,0))*-1</f>
        <v>0</v>
      </c>
      <c r="H45" s="162">
        <f>ROUND(SUM(G32:G45),0)</f>
        <v>1260103</v>
      </c>
      <c r="J45" s="156" t="s">
        <v>987</v>
      </c>
      <c r="K45" s="142" t="str">
        <f>IF(ISNA(HLOOKUP("start",ESLData!C$1:C$9960,MATCH($A45,ESLData!$B$1:$B$9960,0))),"",HLOOKUP("start",ESLData!C$1:C$9960,MATCH($A45,ESLData!$B$1:$B$9960,0)))</f>
        <v>PB4L Grant</v>
      </c>
    </row>
    <row r="46" spans="1:11" ht="14.25" customHeight="1" x14ac:dyDescent="0.2">
      <c r="A46" s="145"/>
      <c r="C46" s="143"/>
      <c r="D46" s="155"/>
      <c r="E46" s="143"/>
      <c r="F46" s="155"/>
      <c r="G46" s="143"/>
      <c r="H46" s="155"/>
      <c r="J46" s="156"/>
    </row>
    <row r="47" spans="1:11" ht="14.25" customHeight="1" x14ac:dyDescent="0.2">
      <c r="A47" s="145"/>
      <c r="C47" s="143"/>
      <c r="D47" s="155"/>
      <c r="E47" s="143"/>
      <c r="F47" s="155"/>
      <c r="G47" s="143"/>
      <c r="H47" s="155"/>
      <c r="J47" s="156"/>
    </row>
    <row r="48" spans="1:11" ht="14.25" customHeight="1" x14ac:dyDescent="0.2">
      <c r="A48" s="147" t="s">
        <v>1137</v>
      </c>
      <c r="C48" s="143"/>
      <c r="D48" s="155"/>
      <c r="E48" s="143"/>
      <c r="F48" s="155"/>
      <c r="G48" s="143"/>
      <c r="H48" s="155"/>
      <c r="J48" s="156"/>
    </row>
    <row r="49" spans="1:12" ht="14.25" customHeight="1" x14ac:dyDescent="0.2">
      <c r="A49" s="147">
        <v>475</v>
      </c>
      <c r="C49" s="143">
        <f>HLOOKUP("start",ESLData!E$1:E$9960,MATCH($A49,ESLData!$B$1:$B$9960,0))*-1</f>
        <v>512.04</v>
      </c>
      <c r="D49" s="155"/>
      <c r="E49" s="143">
        <f>HLOOKUP("start",ESLData!F$1:F$9960,MATCH($A49,ESLData!$B$1:$B$9960,0))*-1</f>
        <v>0</v>
      </c>
      <c r="F49" s="155"/>
      <c r="G49" s="143">
        <f>HLOOKUP("start",ESLData!H$1:H$9960,MATCH($A49,ESLData!$B$1:$B$9960,0))*-1</f>
        <v>0</v>
      </c>
      <c r="H49" s="155"/>
      <c r="J49" s="156"/>
    </row>
    <row r="50" spans="1:12" ht="14.25" customHeight="1" x14ac:dyDescent="0.2">
      <c r="A50" s="145">
        <v>480</v>
      </c>
      <c r="C50" s="143">
        <f>HLOOKUP("start",ESLData!E$1:E$9960,MATCH($A50,ESLData!$B$1:$B$9960,0))*-1</f>
        <v>0</v>
      </c>
      <c r="D50" s="162">
        <f>ROUND(SUM(C49:C50),0)</f>
        <v>512</v>
      </c>
      <c r="E50" s="143">
        <f>HLOOKUP("start",ESLData!F$1:F$9960,MATCH($A50,ESLData!$B$1:$B$9960,0))*-1</f>
        <v>0</v>
      </c>
      <c r="F50" s="162">
        <f>ROUND(SUM(E49:E50),0)</f>
        <v>0</v>
      </c>
      <c r="G50" s="143">
        <f>HLOOKUP("start",ESLData!H$1:H$9960,MATCH($A50,ESLData!$B$1:$B$9960,0))*-1</f>
        <v>20000</v>
      </c>
      <c r="H50" s="162">
        <f>ROUND(SUM(G49:G50),0)</f>
        <v>20000</v>
      </c>
      <c r="J50" s="156" t="s">
        <v>987</v>
      </c>
      <c r="K50" s="142" t="str">
        <f>IF(ISNA(HLOOKUP("start",ESLData!C$1:C$9960,MATCH($A50,ESLData!$B$1:$B$9960,0))),"",HLOOKUP("start",ESLData!C$1:C$9960,MATCH($A50,ESLData!$B$1:$B$9960,0)))</f>
        <v>Grants</v>
      </c>
    </row>
    <row r="51" spans="1:12" ht="14.25" customHeight="1" x14ac:dyDescent="0.2">
      <c r="C51" s="143"/>
      <c r="E51" s="143"/>
      <c r="G51" s="143"/>
      <c r="J51" s="156" t="s">
        <v>987</v>
      </c>
      <c r="K51" s="142" t="str">
        <f>IF(ISNA(HLOOKUP("start",ESLData!C$1:C$9960,MATCH($A51,ESLData!$B$1:$B$9960,0))),"",HLOOKUP("start",ESLData!C$1:C$9960,MATCH($A51,ESLData!$B$1:$B$9960,0)))</f>
        <v/>
      </c>
    </row>
    <row r="52" spans="1:12" ht="14.25" customHeight="1" x14ac:dyDescent="0.2">
      <c r="A52" s="151" t="s">
        <v>651</v>
      </c>
      <c r="C52" s="143"/>
      <c r="E52" s="143"/>
      <c r="G52" s="143"/>
      <c r="J52" s="156" t="s">
        <v>987</v>
      </c>
      <c r="K52" s="142" t="str">
        <f>IF(ISNA(HLOOKUP("start",ESLData!C$1:C$9960,MATCH($A52,ESLData!$B$1:$B$9960,0))),"",HLOOKUP("start",ESLData!C$1:C$9960,MATCH($A52,ESLData!$B$1:$B$9960,0)))</f>
        <v/>
      </c>
    </row>
    <row r="53" spans="1:12" ht="14.25" customHeight="1" x14ac:dyDescent="0.2">
      <c r="A53" s="147" t="s">
        <v>193</v>
      </c>
      <c r="C53" s="143"/>
      <c r="E53" s="143"/>
      <c r="G53" s="143"/>
      <c r="J53" s="156" t="s">
        <v>987</v>
      </c>
      <c r="K53" s="142" t="str">
        <f>IF(ISNA(HLOOKUP("start",ESLData!C$1:C$9960,MATCH($A53,ESLData!$B$1:$B$9960,0))),"",HLOOKUP("start",ESLData!C$1:C$9960,MATCH($A53,ESLData!$B$1:$B$9960,0)))</f>
        <v/>
      </c>
    </row>
    <row r="54" spans="1:12" ht="14.25" customHeight="1" x14ac:dyDescent="0.2">
      <c r="A54" s="144">
        <v>10640</v>
      </c>
      <c r="C54" s="143">
        <f>HLOOKUP("start",ESLData!E$1:E$9960,MATCH($A54,ESLData!$B$1:$B$9960,0))*-1</f>
        <v>0</v>
      </c>
      <c r="E54" s="143">
        <f>HLOOKUP("start",ESLData!F$1:F$9960,MATCH($A54,ESLData!$B$1:$B$9960,0))*-1</f>
        <v>0</v>
      </c>
      <c r="G54" s="143">
        <f>HLOOKUP("start",ESLData!H$1:H$9960,MATCH($A54,ESLData!$B$1:$B$9960,0))*-1</f>
        <v>0</v>
      </c>
      <c r="J54" s="156" t="s">
        <v>987</v>
      </c>
      <c r="K54" s="142" t="str">
        <f>IF(ISNA(HLOOKUP("start",ESLData!C$1:C$9960,MATCH($A54,ESLData!$B$1:$B$9960,0))),"",HLOOKUP("start",ESLData!C$1:C$9960,MATCH($A54,ESLData!$B$1:$B$9960,0)))</f>
        <v>Donations -Parents</v>
      </c>
    </row>
    <row r="55" spans="1:12" ht="14.25" customHeight="1" x14ac:dyDescent="0.2">
      <c r="A55" s="144">
        <v>10660</v>
      </c>
      <c r="C55" s="143">
        <f>HLOOKUP("start",ESLData!E$1:E$9960,MATCH($A55,ESLData!$B$1:$B$9960,0))*-1</f>
        <v>100</v>
      </c>
      <c r="E55" s="143">
        <f>HLOOKUP("start",ESLData!F$1:F$9960,MATCH($A55,ESLData!$B$1:$B$9960,0))*-1</f>
        <v>0</v>
      </c>
      <c r="G55" s="143">
        <f>HLOOKUP("start",ESLData!H$1:H$9960,MATCH($A55,ESLData!$B$1:$B$9960,0))*-1</f>
        <v>300</v>
      </c>
      <c r="J55" s="156" t="s">
        <v>987</v>
      </c>
      <c r="K55" s="142" t="str">
        <f>IF(ISNA(HLOOKUP("start",ESLData!C$1:C$9960,MATCH($A55,ESLData!$B$1:$B$9960,0))),"",HLOOKUP("start",ESLData!C$1:C$9960,MATCH($A55,ESLData!$B$1:$B$9960,0)))</f>
        <v>Donations - Other</v>
      </c>
    </row>
    <row r="56" spans="1:12" ht="14.25" customHeight="1" x14ac:dyDescent="0.2">
      <c r="A56" s="144">
        <v>10665</v>
      </c>
      <c r="C56" s="143">
        <f>HLOOKUP("start",ESLData!E$1:E$9960,MATCH($A56,ESLData!$B$1:$B$9960,0))*-1</f>
        <v>0</v>
      </c>
      <c r="E56" s="143">
        <f>HLOOKUP("start",ESLData!F$1:F$9960,MATCH($A56,ESLData!$B$1:$B$9960,0))*-1</f>
        <v>0</v>
      </c>
      <c r="G56" s="143">
        <f>HLOOKUP("start",ESLData!H$1:H$9960,MATCH($A56,ESLData!$B$1:$B$9960,0))*-1</f>
        <v>0</v>
      </c>
      <c r="J56" s="146"/>
      <c r="L56" s="146"/>
    </row>
    <row r="57" spans="1:12" ht="14.25" customHeight="1" x14ac:dyDescent="0.2">
      <c r="A57" s="144">
        <v>10700</v>
      </c>
      <c r="C57" s="143">
        <f>HLOOKUP("start",ESLData!E$1:E$9960,MATCH($A57,ESLData!$B$1:$B$9960,0))*-1</f>
        <v>0</v>
      </c>
      <c r="D57" s="162">
        <f>ROUND(SUM(C54:C57),0)</f>
        <v>100</v>
      </c>
      <c r="E57" s="143">
        <f>HLOOKUP("start",ESLData!F$1:F$9960,MATCH($A57,ESLData!$B$1:$B$9960,0))*-1</f>
        <v>0</v>
      </c>
      <c r="F57" s="155">
        <f>ROUND(SUM(E54:E57),0)</f>
        <v>0</v>
      </c>
      <c r="G57" s="143">
        <f>HLOOKUP("start",ESLData!H$1:H$9960,MATCH($A57,ESLData!$B$1:$B$9960,0))*-1</f>
        <v>0</v>
      </c>
      <c r="H57" s="162">
        <f>ROUND(SUM(G54:G57),0)</f>
        <v>300</v>
      </c>
      <c r="J57" s="156" t="s">
        <v>987</v>
      </c>
      <c r="K57" s="142" t="str">
        <f>IF(ISNA(HLOOKUP("start",ESLData!C$1:C$9960,MATCH($A57,ESLData!$B$1:$B$9960,0))),"",HLOOKUP("start",ESLData!C$1:C$9960,MATCH($A57,ESLData!$B$1:$B$9960,0)))</f>
        <v>Playground Donations&amp;Grants</v>
      </c>
    </row>
    <row r="58" spans="1:12" ht="14.25" customHeight="1" x14ac:dyDescent="0.2">
      <c r="A58" s="147" t="s">
        <v>265</v>
      </c>
      <c r="C58" s="143"/>
      <c r="E58" s="143"/>
      <c r="G58" s="143"/>
      <c r="J58" s="156" t="s">
        <v>987</v>
      </c>
      <c r="K58" s="142" t="str">
        <f>IF(ISNA(HLOOKUP("start",ESLData!C$1:C$9960,MATCH($A58,ESLData!$B$1:$B$9960,0))),"",HLOOKUP("start",ESLData!C$1:C$9960,MATCH($A58,ESLData!$B$1:$B$9960,0)))</f>
        <v/>
      </c>
    </row>
    <row r="59" spans="1:12" ht="14.25" customHeight="1" x14ac:dyDescent="0.2">
      <c r="A59" s="144">
        <v>10710</v>
      </c>
      <c r="C59" s="143">
        <f>HLOOKUP("start",ESLData!E$1:E$9960,MATCH($A59,ESLData!$B$1:$B$9960,0))*-1</f>
        <v>633.04</v>
      </c>
      <c r="E59" s="143">
        <f>HLOOKUP("start",ESLData!F$1:F$9960,MATCH($A59,ESLData!$B$1:$B$9960,0))*-1</f>
        <v>1000</v>
      </c>
      <c r="G59" s="143">
        <f>HLOOKUP("start",ESLData!H$1:H$9960,MATCH($A59,ESLData!$B$1:$B$9960,0))*-1</f>
        <v>1137.58</v>
      </c>
      <c r="J59" s="156" t="s">
        <v>987</v>
      </c>
      <c r="K59" s="142" t="str">
        <f>IF(ISNA(HLOOKUP("start",ESLData!C$1:C$9960,MATCH($A59,ESLData!$B$1:$B$9960,0))),"",HLOOKUP("start",ESLData!C$1:C$9960,MATCH($A59,ESLData!$B$1:$B$9960,0)))</f>
        <v>Commissions</v>
      </c>
    </row>
    <row r="60" spans="1:12" ht="14.25" customHeight="1" x14ac:dyDescent="0.2">
      <c r="A60" s="144">
        <v>10800</v>
      </c>
      <c r="C60" s="143">
        <f>HLOOKUP("start",ESLData!E$1:E$9960,MATCH($A60,ESLData!$B$1:$B$9960,0))*-1</f>
        <v>0</v>
      </c>
      <c r="E60" s="143">
        <f>HLOOKUP("start",ESLData!F$1:F$9960,MATCH($A60,ESLData!$B$1:$B$9960,0))*-1</f>
        <v>0</v>
      </c>
      <c r="G60" s="143">
        <f>HLOOKUP("start",ESLData!H$1:H$9960,MATCH($A60,ESLData!$B$1:$B$9960,0))*-1</f>
        <v>0</v>
      </c>
      <c r="J60" s="156" t="s">
        <v>987</v>
      </c>
      <c r="K60" s="142" t="str">
        <f>IF(ISNA(HLOOKUP("start",ESLData!C$1:C$9960,MATCH($A60,ESLData!$B$1:$B$9960,0))),"",HLOOKUP("start",ESLData!C$1:C$9960,MATCH($A60,ESLData!$B$1:$B$9960,0)))</f>
        <v>Fundraising Income</v>
      </c>
    </row>
    <row r="61" spans="1:12" ht="14.25" customHeight="1" x14ac:dyDescent="0.2">
      <c r="A61" s="144">
        <v>10890</v>
      </c>
      <c r="C61" s="143">
        <f>HLOOKUP("start",ESLData!E$1:E$9960,MATCH($A61,ESLData!$B$1:$B$9960,0))*-1</f>
        <v>7600</v>
      </c>
      <c r="E61" s="143">
        <f>HLOOKUP("start",ESLData!F$1:F$9960,MATCH($A61,ESLData!$B$1:$B$9960,0))*-1</f>
        <v>20000</v>
      </c>
      <c r="G61" s="143">
        <f>HLOOKUP("start",ESLData!H$1:H$9960,MATCH($A61,ESLData!$B$1:$B$9960,0))*-1</f>
        <v>2990</v>
      </c>
      <c r="J61" s="156" t="s">
        <v>987</v>
      </c>
      <c r="K61" s="142" t="str">
        <f>IF(ISNA(HLOOKUP("start",ESLData!C$1:C$9960,MATCH($A61,ESLData!$B$1:$B$9960,0))),"",HLOOKUP("start",ESLData!C$1:C$9960,MATCH($A61,ESLData!$B$1:$B$9960,0)))</f>
        <v>Immersion Course Accommodation</v>
      </c>
    </row>
    <row r="62" spans="1:12" ht="14.25" customHeight="1" x14ac:dyDescent="0.2">
      <c r="A62" s="144">
        <v>10895</v>
      </c>
      <c r="C62" s="143">
        <f>HLOOKUP("start",ESLData!E$1:E$9960,MATCH($A62,ESLData!$B$1:$B$9960,0))*-1</f>
        <v>0</v>
      </c>
      <c r="E62" s="143">
        <f>HLOOKUP("start",ESLData!F$1:F$9960,MATCH($A62,ESLData!$B$1:$B$9960,0))*-1</f>
        <v>0</v>
      </c>
      <c r="G62" s="143">
        <f>HLOOKUP("start",ESLData!H$1:H$9960,MATCH($A62,ESLData!$B$1:$B$9960,0))*-1</f>
        <v>0</v>
      </c>
      <c r="J62" s="156" t="s">
        <v>987</v>
      </c>
      <c r="K62" s="142" t="str">
        <f>IF(ISNA(HLOOKUP("start",ESLData!C$1:C$9960,MATCH($A62,ESLData!$B$1:$B$9960,0))),"",HLOOKUP("start",ESLData!C$1:C$9960,MATCH($A62,ESLData!$B$1:$B$9960,0)))</f>
        <v>Sponsorships Received</v>
      </c>
    </row>
    <row r="63" spans="1:12" ht="14.25" customHeight="1" x14ac:dyDescent="0.2">
      <c r="A63" s="144">
        <v>10900</v>
      </c>
      <c r="C63" s="143">
        <f>HLOOKUP("start",ESLData!E$1:E$9960,MATCH($A63,ESLData!$B$1:$B$9960,0))*-1</f>
        <v>10565.03</v>
      </c>
      <c r="D63" s="162">
        <f>ROUND(SUM(C59:C63),0)</f>
        <v>18798</v>
      </c>
      <c r="E63" s="143">
        <f>HLOOKUP("start",ESLData!F$1:F$9960,MATCH($A63,ESLData!$B$1:$B$9960,0))*-1</f>
        <v>0</v>
      </c>
      <c r="F63" s="155">
        <f>ROUND(SUM(E59:E63),0)</f>
        <v>21000</v>
      </c>
      <c r="G63" s="143">
        <f>HLOOKUP("start",ESLData!H$1:H$9960,MATCH($A63,ESLData!$B$1:$B$9960,0))*-1</f>
        <v>8573.06</v>
      </c>
      <c r="H63" s="162">
        <f>ROUND(SUM(G59:G63),0)</f>
        <v>12701</v>
      </c>
      <c r="J63" s="156" t="s">
        <v>987</v>
      </c>
      <c r="K63" s="142" t="str">
        <f>IF(ISNA(HLOOKUP("start",ESLData!C$1:C$9960,MATCH($A63,ESLData!$B$1:$B$9960,0))),"",HLOOKUP("start",ESLData!C$1:C$9960,MATCH($A63,ESLData!$B$1:$B$9960,0)))</f>
        <v>Sundry Income</v>
      </c>
    </row>
    <row r="64" spans="1:12" ht="14.25" customHeight="1" x14ac:dyDescent="0.2">
      <c r="A64" s="147" t="s">
        <v>413</v>
      </c>
      <c r="C64" s="143"/>
      <c r="E64" s="143"/>
      <c r="G64" s="143"/>
      <c r="J64" s="156" t="s">
        <v>987</v>
      </c>
      <c r="K64" s="142" t="str">
        <f>IF(ISNA(HLOOKUP("start",ESLData!C$1:C$9960,MATCH($A64,ESLData!$B$1:$B$9960,0))),"",HLOOKUP("start",ESLData!C$1:C$9960,MATCH($A64,ESLData!$B$1:$B$9960,0)))</f>
        <v/>
      </c>
    </row>
    <row r="65" spans="1:16" ht="14.25" customHeight="1" x14ac:dyDescent="0.2">
      <c r="A65" s="144">
        <v>10801</v>
      </c>
      <c r="C65" s="143">
        <f>HLOOKUP("start",ESLData!E$1:E$9960,MATCH($A65,ESLData!$B$1:$B$9960,0))</f>
        <v>0</v>
      </c>
      <c r="D65" s="148"/>
      <c r="E65" s="143">
        <f>HLOOKUP("start",ESLData!F$1:F$9960,MATCH($A65,ESLData!$B$1:$B$9960,0))</f>
        <v>0</v>
      </c>
      <c r="F65" s="148"/>
      <c r="G65" s="143">
        <f>HLOOKUP("start",ESLData!H$1:H$9960,MATCH($A65,ESLData!$B$1:$B$9960,0))*-1</f>
        <v>0</v>
      </c>
      <c r="H65" s="148"/>
      <c r="J65" s="156" t="s">
        <v>987</v>
      </c>
      <c r="K65" s="142" t="str">
        <f>IF(ISNA(HLOOKUP("start",ESLData!C$1:C$9960,MATCH($A65,ESLData!$B$1:$B$9960,0))),"",HLOOKUP("start",ESLData!C$1:C$9960,MATCH($A65,ESLData!$B$1:$B$9960,0)))</f>
        <v>Fundraising Expenditure</v>
      </c>
    </row>
    <row r="66" spans="1:16" ht="14.25" customHeight="1" x14ac:dyDescent="0.2">
      <c r="A66" s="144">
        <v>10901</v>
      </c>
      <c r="C66" s="143">
        <f>HLOOKUP("start",ESLData!E$1:E$9960,MATCH($A66,ESLData!$B$1:$B$9960,0))</f>
        <v>3655.09</v>
      </c>
      <c r="D66" s="163">
        <f>ROUND(SUM(C65:C66),0)</f>
        <v>3655</v>
      </c>
      <c r="E66" s="143">
        <f>HLOOKUP("start",ESLData!F$1:F$9960,MATCH($A66,ESLData!$B$1:$B$9960,0))</f>
        <v>0</v>
      </c>
      <c r="F66" s="163">
        <f>ROUND(SUM(E65:E66),0)</f>
        <v>0</v>
      </c>
      <c r="G66" s="143">
        <f>HLOOKUP("start",ESLData!H$1:H$9960,MATCH($A66,ESLData!$B$1:$B$9960,0))</f>
        <v>7648.92</v>
      </c>
      <c r="H66" s="163">
        <f>ROUND(SUM(G65:G66),0)</f>
        <v>7649</v>
      </c>
      <c r="J66" s="156" t="s">
        <v>987</v>
      </c>
      <c r="K66" s="142" t="str">
        <f>IF(ISNA(HLOOKUP("start",ESLData!C$1:C$9960,MATCH($A66,ESLData!$B$1:$B$9960,0))),"",HLOOKUP("start",ESLData!C$1:C$9960,MATCH($A66,ESLData!$B$1:$B$9960,0)))</f>
        <v>Sundry Expenditure</v>
      </c>
      <c r="P66" s="146" t="s">
        <v>781</v>
      </c>
    </row>
    <row r="67" spans="1:16" ht="14.25" customHeight="1" x14ac:dyDescent="0.2">
      <c r="C67" s="143"/>
      <c r="D67" s="148"/>
      <c r="E67" s="143"/>
      <c r="G67" s="143"/>
      <c r="H67" s="148"/>
      <c r="J67" s="156"/>
      <c r="M67" s="142" t="s">
        <v>1471</v>
      </c>
      <c r="P67" s="146"/>
    </row>
    <row r="68" spans="1:16" ht="14.25" customHeight="1" x14ac:dyDescent="0.2">
      <c r="A68" s="147" t="s">
        <v>273</v>
      </c>
      <c r="C68" s="143"/>
      <c r="E68" s="143"/>
      <c r="G68" s="143"/>
      <c r="J68" s="156" t="s">
        <v>987</v>
      </c>
      <c r="K68" s="142" t="str">
        <f>IF(ISNA(HLOOKUP("start",ESLData!C$1:C$9960,MATCH($A68,ESLData!$B$1:$B$9960,0))),"",HLOOKUP("start",ESLData!C$1:C$9960,MATCH($A68,ESLData!$B$1:$B$9960,0)))</f>
        <v/>
      </c>
      <c r="O68" s="146" t="s">
        <v>781</v>
      </c>
    </row>
    <row r="69" spans="1:16" ht="14.25" customHeight="1" x14ac:dyDescent="0.2">
      <c r="A69" s="144">
        <v>10420</v>
      </c>
      <c r="C69" s="143">
        <f>HLOOKUP("start",ESLData!E$1:E$9960,MATCH($A69,ESLData!$B$1:$B$9960,0))*-1</f>
        <v>0</v>
      </c>
      <c r="E69" s="143">
        <f>HLOOKUP("start",ESLData!F$1:F$9960,MATCH($A69,ESLData!$B$1:$B$9960,0))*-1</f>
        <v>0</v>
      </c>
      <c r="G69" s="143">
        <f>HLOOKUP("start",ESLData!H$1:H$9960,MATCH($A69,ESLData!$B$1:$B$9960,0))*-1</f>
        <v>0</v>
      </c>
      <c r="J69" s="156" t="s">
        <v>987</v>
      </c>
      <c r="K69" s="142" t="str">
        <f>IF(ISNA(HLOOKUP("start",ESLData!C$1:C$9960,MATCH($A69,ESLData!$B$1:$B$9960,0))),"",HLOOKUP("start",ESLData!C$1:C$9960,MATCH($A69,ESLData!$B$1:$B$9960,0)))</f>
        <v>National Assessment Recoveries</v>
      </c>
    </row>
    <row r="70" spans="1:16" ht="14.25" customHeight="1" x14ac:dyDescent="0.2">
      <c r="A70" s="144">
        <v>10405</v>
      </c>
      <c r="C70" s="143">
        <f>HLOOKUP("start",ESLData!E$1:E$9960,MATCH($A70,ESLData!$B$1:$B$9960,0))*-1</f>
        <v>14060.87</v>
      </c>
      <c r="E70" s="143">
        <f>HLOOKUP("start",ESLData!F$1:F$9960,MATCH($A70,ESLData!$B$1:$B$9960,0))*-1</f>
        <v>6000</v>
      </c>
      <c r="G70" s="143">
        <f>HLOOKUP("start",ESLData!H$1:H$9960,MATCH($A70,ESLData!$B$1:$B$9960,0))*-1</f>
        <v>9640</v>
      </c>
      <c r="J70" s="156" t="s">
        <v>987</v>
      </c>
      <c r="K70" s="142" t="str">
        <f>IF(ISNA(HLOOKUP("start",ESLData!C$1:C$9960,MATCH($A70,ESLData!$B$1:$B$9960,0))),"",HLOOKUP("start",ESLData!C$1:C$9960,MATCH($A70,ESLData!$B$1:$B$9960,0)))</f>
        <v>O&amp;M Income</v>
      </c>
    </row>
    <row r="71" spans="1:16" ht="14.25" customHeight="1" x14ac:dyDescent="0.2">
      <c r="A71" s="144">
        <v>10430</v>
      </c>
      <c r="C71" s="143">
        <f>HLOOKUP("start",ESLData!E$1:E$9960,MATCH($A71,ESLData!$B$1:$B$9960,0))*-1</f>
        <v>0</v>
      </c>
      <c r="E71" s="143">
        <f>HLOOKUP("start",ESLData!F$1:F$9960,MATCH($A71,ESLData!$B$1:$B$9960,0))*-1</f>
        <v>0</v>
      </c>
      <c r="G71" s="143">
        <f>HLOOKUP("start",ESLData!H$1:H$9960,MATCH($A71,ESLData!$B$1:$B$9960,0))*-1</f>
        <v>0</v>
      </c>
      <c r="J71" s="156" t="s">
        <v>987</v>
      </c>
      <c r="K71" s="142" t="str">
        <f>IF(ISNA(HLOOKUP("start",ESLData!C$1:C$9960,MATCH($A71,ESLData!$B$1:$B$9960,0))),"",HLOOKUP("start",ESLData!C$1:C$9960,MATCH($A71,ESLData!$B$1:$B$9960,0)))</f>
        <v>ECC Expense Recoveries</v>
      </c>
    </row>
    <row r="72" spans="1:16" ht="14.25" customHeight="1" x14ac:dyDescent="0.2">
      <c r="A72" s="144">
        <v>10440</v>
      </c>
      <c r="C72" s="143">
        <f>HLOOKUP("start",ESLData!E$1:E$9960,MATCH($A72,ESLData!$B$1:$B$9960,0))*-1</f>
        <v>0</v>
      </c>
      <c r="E72" s="143">
        <f>HLOOKUP("start",ESLData!F$1:F$9960,MATCH($A72,ESLData!$B$1:$B$9960,0))*-1</f>
        <v>0</v>
      </c>
      <c r="G72" s="143">
        <f>HLOOKUP("start",ESLData!H$1:H$9960,MATCH($A72,ESLData!$B$1:$B$9960,0))*-1</f>
        <v>0</v>
      </c>
      <c r="J72" s="156" t="s">
        <v>987</v>
      </c>
      <c r="K72" s="142" t="str">
        <f>IF(ISNA(HLOOKUP("start",ESLData!C$1:C$9960,MATCH($A72,ESLData!$B$1:$B$9960,0))),"",HLOOKUP("start",ESLData!C$1:C$9960,MATCH($A72,ESLData!$B$1:$B$9960,0)))</f>
        <v>Maori Research Project</v>
      </c>
    </row>
    <row r="73" spans="1:16" ht="14.25" customHeight="1" x14ac:dyDescent="0.2">
      <c r="A73" s="144">
        <v>10450</v>
      </c>
      <c r="C73" s="143">
        <f>HLOOKUP("start",ESLData!E$1:E$9960,MATCH($A73,ESLData!$B$1:$B$9960,0))*-1</f>
        <v>0</v>
      </c>
      <c r="E73" s="143">
        <f>HLOOKUP("start",ESLData!F$1:F$9960,MATCH($A73,ESLData!$B$1:$B$9960,0))*-1</f>
        <v>0</v>
      </c>
      <c r="G73" s="143">
        <f>HLOOKUP("start",ESLData!H$1:H$9960,MATCH($A73,ESLData!$B$1:$B$9960,0))*-1</f>
        <v>0</v>
      </c>
      <c r="J73" s="156" t="s">
        <v>987</v>
      </c>
      <c r="K73" s="142" t="str">
        <f>IF(ISNA(HLOOKUP("start",ESLData!C$1:C$9960,MATCH($A73,ESLData!$B$1:$B$9960,0))),"",HLOOKUP("start",ESLData!C$1:C$9960,MATCH($A73,ESLData!$B$1:$B$9960,0)))</f>
        <v>Vision Edu Agency Contract</v>
      </c>
    </row>
    <row r="74" spans="1:16" ht="14.25" customHeight="1" x14ac:dyDescent="0.2">
      <c r="A74" s="144">
        <v>10850</v>
      </c>
      <c r="C74" s="143">
        <f>HLOOKUP("start",ESLData!E$1:E$9960,MATCH($A74,ESLData!$B$1:$B$9960,0))*-1</f>
        <v>0</v>
      </c>
      <c r="E74" s="143">
        <f>HLOOKUP("start",ESLData!F$1:F$9960,MATCH($A74,ESLData!$B$1:$B$9960,0))*-1</f>
        <v>0</v>
      </c>
      <c r="G74" s="143">
        <f>HLOOKUP("start",ESLData!H$1:H$9960,MATCH($A74,ESLData!$B$1:$B$9960,0))*-1</f>
        <v>11.91</v>
      </c>
      <c r="J74" s="156" t="s">
        <v>987</v>
      </c>
      <c r="K74" s="142" t="str">
        <f>IF(ISNA(HLOOKUP("start",ESLData!C$1:C$9960,MATCH($A74,ESLData!$B$1:$B$9960,0))),"",HLOOKUP("start",ESLData!C$1:C$9960,MATCH($A74,ESLData!$B$1:$B$9960,0)))</f>
        <v>Music Income</v>
      </c>
    </row>
    <row r="75" spans="1:16" ht="14.25" customHeight="1" x14ac:dyDescent="0.2">
      <c r="A75" s="144">
        <v>10990</v>
      </c>
      <c r="C75" s="143">
        <f>HLOOKUP("start",ESLData!E$1:E$9960,MATCH($A75,ESLData!$B$1:$B$9960,0))*-1</f>
        <v>6665</v>
      </c>
      <c r="E75" s="143">
        <f>HLOOKUP("start",ESLData!F$1:F$9960,MATCH($A75,ESLData!$B$1:$B$9960,0))*-1</f>
        <v>20000</v>
      </c>
      <c r="G75" s="143">
        <f>HLOOKUP("start",ESLData!H$1:H$9960,MATCH($A75,ESLData!$B$1:$B$9960,0))*-1</f>
        <v>0</v>
      </c>
      <c r="J75" s="156" t="s">
        <v>987</v>
      </c>
      <c r="K75" s="142" t="str">
        <f>IF(ISNA(HLOOKUP("start",ESLData!C$1:C$9960,MATCH($A75,ESLData!$B$1:$B$9960,0))),"",HLOOKUP("start",ESLData!C$1:C$9960,MATCH($A75,ESLData!$B$1:$B$9960,0)))</f>
        <v>Music School Income</v>
      </c>
    </row>
    <row r="76" spans="1:16" ht="14.25" customHeight="1" x14ac:dyDescent="0.2">
      <c r="A76" s="144">
        <v>10903</v>
      </c>
      <c r="C76" s="143">
        <f>HLOOKUP("start",ESLData!E$1:E$9960,MATCH($A76,ESLData!$B$1:$B$9960,0))*-1</f>
        <v>0</v>
      </c>
      <c r="E76" s="143">
        <f>HLOOKUP("start",ESLData!F$1:F$9960,MATCH($A76,ESLData!$B$1:$B$9960,0))*-1</f>
        <v>0</v>
      </c>
      <c r="G76" s="143">
        <f>HLOOKUP("start",ESLData!H$1:H$9960,MATCH($A76,ESLData!$B$1:$B$9960,0))*-1</f>
        <v>0</v>
      </c>
      <c r="J76" s="156" t="s">
        <v>987</v>
      </c>
      <c r="K76" s="142" t="str">
        <f>IF(ISNA(HLOOKUP("start",ESLData!C$1:C$9960,MATCH($A76,ESLData!$B$1:$B$9960,0))),"",HLOOKUP("start",ESLData!C$1:C$9960,MATCH($A76,ESLData!$B$1:$B$9960,0)))</f>
        <v>RNZF Reimbursements</v>
      </c>
    </row>
    <row r="77" spans="1:16" ht="14.25" customHeight="1" x14ac:dyDescent="0.2">
      <c r="A77" s="144">
        <v>21000</v>
      </c>
      <c r="C77" s="143">
        <f>HLOOKUP("start",ESLData!E$1:E$9960,MATCH($A77,ESLData!$B$1:$B$9960,0))*-1</f>
        <v>0</v>
      </c>
      <c r="E77" s="143">
        <f>HLOOKUP("start",ESLData!F$1:F$9960,MATCH($A77,ESLData!$B$1:$B$9960,0))*-1</f>
        <v>0</v>
      </c>
      <c r="G77" s="143">
        <f>HLOOKUP("start",ESLData!H$1:H$9960,MATCH($A77,ESLData!$B$1:$B$9960,0))*-1</f>
        <v>0</v>
      </c>
      <c r="J77" s="156" t="s">
        <v>987</v>
      </c>
      <c r="K77" s="142" t="str">
        <f>IF(ISNA(HLOOKUP("start",ESLData!C$1:C$9960,MATCH($A77,ESLData!$B$1:$B$9960,0))),"",HLOOKUP("start",ESLData!C$1:C$9960,MATCH($A77,ESLData!$B$1:$B$9960,0)))</f>
        <v>Activities Income</v>
      </c>
    </row>
    <row r="78" spans="1:16" ht="14.25" customHeight="1" x14ac:dyDescent="0.2">
      <c r="A78" s="144">
        <v>21110</v>
      </c>
      <c r="C78" s="143">
        <f>HLOOKUP("start",ESLData!E$1:E$9960,MATCH($A78,ESLData!$B$1:$B$9960,0))*-1</f>
        <v>0</v>
      </c>
      <c r="E78" s="143">
        <f>HLOOKUP("start",ESLData!F$1:F$9960,MATCH($A78,ESLData!$B$1:$B$9960,0))*-1</f>
        <v>0</v>
      </c>
      <c r="G78" s="143">
        <f>HLOOKUP("start",ESLData!H$1:H$9960,MATCH($A78,ESLData!$B$1:$B$9960,0))*-1</f>
        <v>0</v>
      </c>
      <c r="J78" s="156" t="s">
        <v>987</v>
      </c>
      <c r="K78" s="142" t="str">
        <f>IF(ISNA(HLOOKUP("start",ESLData!C$1:C$9960,MATCH($A78,ESLData!$B$1:$B$9960,0))),"",HLOOKUP("start",ESLData!C$1:C$9960,MATCH($A78,ESLData!$B$1:$B$9960,0)))</f>
        <v>ICT Cluster  - MOE Contract</v>
      </c>
    </row>
    <row r="79" spans="1:16" ht="14.25" customHeight="1" x14ac:dyDescent="0.2">
      <c r="A79" s="144">
        <v>21170</v>
      </c>
      <c r="C79" s="143">
        <f>HLOOKUP("start",ESLData!E$1:E$9960,MATCH($A79,ESLData!$B$1:$B$9960,0))*-1</f>
        <v>0</v>
      </c>
      <c r="D79" s="162">
        <f>ROUND(SUM(C69:C79),0)</f>
        <v>20726</v>
      </c>
      <c r="E79" s="143">
        <f>HLOOKUP("start",ESLData!F$1:F$9960,MATCH($A79,ESLData!$B$1:$B$9960,0))*-1</f>
        <v>0</v>
      </c>
      <c r="F79" s="155">
        <f>ROUND(SUM(E69:E79),0)</f>
        <v>26000</v>
      </c>
      <c r="G79" s="143">
        <f>HLOOKUP("start",ESLData!H$1:H$9960,MATCH($A79,ESLData!$B$1:$B$9960,0))*-1</f>
        <v>0</v>
      </c>
      <c r="H79" s="162">
        <f>ROUND(SUM(G69:G79),0)</f>
        <v>9652</v>
      </c>
      <c r="J79" s="156" t="s">
        <v>987</v>
      </c>
      <c r="K79" s="142" t="str">
        <f>IF(ISNA(HLOOKUP("start",ESLData!C$1:C$9960,MATCH($A79,ESLData!$B$1:$B$9960,0))),"",HLOOKUP("start",ESLData!C$1:C$9960,MATCH($A79,ESLData!$B$1:$B$9960,0)))</f>
        <v>Staff Travel &amp; Accommodation</v>
      </c>
    </row>
    <row r="80" spans="1:16" ht="14.25" customHeight="1" x14ac:dyDescent="0.2">
      <c r="A80" s="147" t="s">
        <v>414</v>
      </c>
      <c r="C80" s="143"/>
      <c r="E80" s="143"/>
      <c r="G80" s="143"/>
      <c r="J80" s="156" t="s">
        <v>987</v>
      </c>
      <c r="K80" s="142" t="str">
        <f>IF(ISNA(HLOOKUP("start",ESLData!C$1:C$9960,MATCH($A80,ESLData!$B$1:$B$9960,0))),"",HLOOKUP("start",ESLData!C$1:C$9960,MATCH($A80,ESLData!$B$1:$B$9960,0)))</f>
        <v/>
      </c>
    </row>
    <row r="81" spans="1:11" ht="14.25" customHeight="1" x14ac:dyDescent="0.2">
      <c r="A81" s="144">
        <v>21100</v>
      </c>
      <c r="C81" s="143">
        <f>HLOOKUP("start",ESLData!E$1:E$9960,MATCH($A81,ESLData!$B$1:$B$9960,0))</f>
        <v>0</v>
      </c>
      <c r="D81" s="163">
        <f>ROUND(C81,0)</f>
        <v>0</v>
      </c>
      <c r="E81" s="143">
        <f>HLOOKUP("start",ESLData!F$1:F$9960,MATCH($A81,ESLData!$B$1:$B$9960,0))*-1</f>
        <v>0</v>
      </c>
      <c r="F81" s="148">
        <f>ROUND(E81,0)</f>
        <v>0</v>
      </c>
      <c r="G81" s="143">
        <f>HLOOKUP("start",ESLData!H$1:H$9960,MATCH($A81,ESLData!$B$1:$B$9960,0))*-1</f>
        <v>0</v>
      </c>
      <c r="H81" s="163">
        <f>ROUND(G81,0)</f>
        <v>0</v>
      </c>
      <c r="J81" s="156" t="s">
        <v>987</v>
      </c>
      <c r="K81" s="142" t="str">
        <f>IF(ISNA(HLOOKUP("start",ESLData!C$1:C$9960,MATCH($A81,ESLData!$B$1:$B$9960,0))),"",HLOOKUP("start",ESLData!C$1:C$9960,MATCH($A81,ESLData!$B$1:$B$9960,0)))</f>
        <v>Activities Expenditure</v>
      </c>
    </row>
    <row r="82" spans="1:11" ht="14.25" customHeight="1" x14ac:dyDescent="0.2">
      <c r="A82" s="147" t="s">
        <v>415</v>
      </c>
      <c r="C82" s="143"/>
      <c r="E82" s="143"/>
      <c r="G82" s="143"/>
      <c r="J82" s="156" t="s">
        <v>987</v>
      </c>
      <c r="K82" s="142" t="str">
        <f>IF(ISNA(HLOOKUP("start",ESLData!C$1:C$9960,MATCH($A82,ESLData!$B$1:$B$9960,0))),"",HLOOKUP("start",ESLData!C$1:C$9960,MATCH($A82,ESLData!$B$1:$B$9960,0)))</f>
        <v/>
      </c>
    </row>
    <row r="83" spans="1:11" ht="14.25" customHeight="1" x14ac:dyDescent="0.2">
      <c r="A83" s="144">
        <v>21800</v>
      </c>
      <c r="C83" s="143">
        <f>HLOOKUP("start",ESLData!E$1:E$9960,MATCH($A83,ESLData!$B$1:$B$9960,0))*-1</f>
        <v>0</v>
      </c>
      <c r="E83" s="143">
        <f>HLOOKUP("start",ESLData!F$1:F$9960,MATCH($A83,ESLData!$B$1:$B$9960,0))*-1</f>
        <v>0</v>
      </c>
      <c r="G83" s="143">
        <f>HLOOKUP("start",ESLData!H$1:H$9960,MATCH($A83,ESLData!$B$1:$B$9960,0))*-1</f>
        <v>0</v>
      </c>
      <c r="J83" s="156" t="s">
        <v>987</v>
      </c>
      <c r="K83" s="142" t="str">
        <f>IF(ISNA(HLOOKUP("start",ESLData!C$1:C$9960,MATCH($A83,ESLData!$B$1:$B$9960,0))),"",HLOOKUP("start",ESLData!C$1:C$9960,MATCH($A83,ESLData!$B$1:$B$9960,0)))</f>
        <v>Kickstart Income</v>
      </c>
    </row>
    <row r="84" spans="1:11" ht="14.25" customHeight="1" x14ac:dyDescent="0.2">
      <c r="A84" s="144">
        <v>22000</v>
      </c>
      <c r="C84" s="143">
        <f>HLOOKUP("start",ESLData!E$1:E$9960,MATCH($A84,ESLData!$B$1:$B$9960,0))*-1</f>
        <v>2104.34</v>
      </c>
      <c r="E84" s="143">
        <f>HLOOKUP("start",ESLData!F$1:F$9960,MATCH($A84,ESLData!$B$1:$B$9960,0))*-1</f>
        <v>0</v>
      </c>
      <c r="G84" s="143">
        <f>HLOOKUP("start",ESLData!H$1:H$9960,MATCH($A84,ESLData!$B$1:$B$9960,0))*-1</f>
        <v>0</v>
      </c>
      <c r="J84" s="156" t="s">
        <v>987</v>
      </c>
      <c r="K84" s="142" t="str">
        <f>IF(ISNA(HLOOKUP("start",ESLData!C$1:C$9960,MATCH($A84,ESLData!$B$1:$B$9960,0))),"",HLOOKUP("start",ESLData!C$1:C$9960,MATCH($A84,ESLData!$B$1:$B$9960,0)))</f>
        <v>Hostel Income</v>
      </c>
    </row>
    <row r="85" spans="1:11" ht="14.25" customHeight="1" x14ac:dyDescent="0.2">
      <c r="A85" s="144">
        <v>22200</v>
      </c>
      <c r="C85" s="143">
        <f>HLOOKUP("start",ESLData!E$1:E$9960,MATCH($A85,ESLData!$B$1:$B$9960,0))*-1</f>
        <v>0</v>
      </c>
      <c r="E85" s="143">
        <f>HLOOKUP("start",ESLData!F$1:F$9960,MATCH($A85,ESLData!$B$1:$B$9960,0))*-1</f>
        <v>0</v>
      </c>
      <c r="G85" s="143">
        <f>HLOOKUP("start",ESLData!H$1:H$9960,MATCH($A85,ESLData!$B$1:$B$9960,0))*-1</f>
        <v>0</v>
      </c>
      <c r="J85" s="156" t="s">
        <v>987</v>
      </c>
      <c r="K85" s="142" t="str">
        <f>IF(ISNA(HLOOKUP("start",ESLData!C$1:C$9960,MATCH($A85,ESLData!$B$1:$B$9960,0))),"",HLOOKUP("start",ESLData!C$1:C$9960,MATCH($A85,ESLData!$B$1:$B$9960,0)))</f>
        <v>Itinerant Income</v>
      </c>
    </row>
    <row r="86" spans="1:11" ht="14.25" customHeight="1" x14ac:dyDescent="0.2">
      <c r="A86" s="144">
        <v>22400</v>
      </c>
      <c r="C86" s="143">
        <f>HLOOKUP("start",ESLData!E$1:E$9960,MATCH($A86,ESLData!$B$1:$B$9960,0))*-1</f>
        <v>0</v>
      </c>
      <c r="E86" s="143">
        <f>HLOOKUP("start",ESLData!F$1:F$9960,MATCH($A86,ESLData!$B$1:$B$9960,0))*-1</f>
        <v>0</v>
      </c>
      <c r="G86" s="143">
        <f>HLOOKUP("start",ESLData!H$1:H$9960,MATCH($A86,ESLData!$B$1:$B$9960,0))*-1</f>
        <v>0</v>
      </c>
      <c r="J86" s="156" t="s">
        <v>987</v>
      </c>
      <c r="K86" s="142" t="str">
        <f>IF(ISNA(HLOOKUP("start",ESLData!C$1:C$9960,MATCH($A86,ESLData!$B$1:$B$9960,0))),"",HLOOKUP("start",ESLData!C$1:C$9960,MATCH($A86,ESLData!$B$1:$B$9960,0)))</f>
        <v>Braille Training Inc</v>
      </c>
    </row>
    <row r="87" spans="1:11" ht="14.25" customHeight="1" x14ac:dyDescent="0.2">
      <c r="A87" s="144">
        <v>23200</v>
      </c>
      <c r="C87" s="143">
        <f>HLOOKUP("start",ESLData!E$1:E$9960,MATCH($A87,ESLData!$B$1:$B$9960,0))*-1</f>
        <v>0</v>
      </c>
      <c r="E87" s="143">
        <f>HLOOKUP("start",ESLData!F$1:F$9960,MATCH($A87,ESLData!$B$1:$B$9960,0))*-1</f>
        <v>0</v>
      </c>
      <c r="G87" s="143">
        <f>HLOOKUP("start",ESLData!H$1:H$9960,MATCH($A87,ESLData!$B$1:$B$9960,0))*-1</f>
        <v>0</v>
      </c>
      <c r="J87" s="156" t="s">
        <v>987</v>
      </c>
      <c r="K87" s="142" t="str">
        <f>IF(ISNA(HLOOKUP("start",ESLData!C$1:C$9960,MATCH($A87,ESLData!$B$1:$B$9960,0))),"",HLOOKUP("start",ESLData!C$1:C$9960,MATCH($A87,ESLData!$B$1:$B$9960,0)))</f>
        <v>Hire School Facilities Income</v>
      </c>
    </row>
    <row r="88" spans="1:11" ht="14.25" customHeight="1" x14ac:dyDescent="0.2">
      <c r="A88" s="144">
        <v>23400</v>
      </c>
      <c r="C88" s="143">
        <f>HLOOKUP("start",ESLData!E$1:E$9960,MATCH($A88,ESLData!$B$1:$B$9960,0))*-1</f>
        <v>1246.08</v>
      </c>
      <c r="E88" s="143">
        <f>HLOOKUP("start",ESLData!F$1:F$9960,MATCH($A88,ESLData!$B$1:$B$9960,0))*-1</f>
        <v>0</v>
      </c>
      <c r="G88" s="143">
        <f>HLOOKUP("start",ESLData!H$1:H$9960,MATCH($A88,ESLData!$B$1:$B$9960,0))*-1</f>
        <v>-310</v>
      </c>
      <c r="J88" s="156" t="s">
        <v>987</v>
      </c>
      <c r="K88" s="142" t="str">
        <f>IF(ISNA(HLOOKUP("start",ESLData!C$1:C$9960,MATCH($A88,ESLData!$B$1:$B$9960,0))),"",HLOOKUP("start",ESLData!C$1:C$9960,MATCH($A88,ESLData!$B$1:$B$9960,0)))</f>
        <v>Homai Campus Income</v>
      </c>
    </row>
    <row r="89" spans="1:11" ht="14.25" customHeight="1" x14ac:dyDescent="0.2">
      <c r="A89" s="144">
        <v>23600</v>
      </c>
      <c r="C89" s="143">
        <f>HLOOKUP("start",ESLData!E$1:E$9960,MATCH($A89,ESLData!$B$1:$B$9960,0))*-1</f>
        <v>0</v>
      </c>
      <c r="E89" s="143">
        <f>HLOOKUP("start",ESLData!F$1:F$9960,MATCH($A89,ESLData!$B$1:$B$9960,0))*-1</f>
        <v>0</v>
      </c>
      <c r="G89" s="143">
        <f>HLOOKUP("start",ESLData!H$1:H$9960,MATCH($A89,ESLData!$B$1:$B$9960,0))*-1</f>
        <v>0</v>
      </c>
      <c r="J89" s="156" t="s">
        <v>987</v>
      </c>
      <c r="K89" s="142" t="str">
        <f>IF(ISNA(HLOOKUP("start",ESLData!C$1:C$9960,MATCH($A89,ESLData!$B$1:$B$9960,0))),"",HLOOKUP("start",ESLData!C$1:C$9960,MATCH($A89,ESLData!$B$1:$B$9960,0)))</f>
        <v>Rental Income</v>
      </c>
    </row>
    <row r="90" spans="1:11" ht="14.25" customHeight="1" x14ac:dyDescent="0.2">
      <c r="A90" s="144">
        <v>24000</v>
      </c>
      <c r="C90" s="143">
        <f>HLOOKUP("start",ESLData!E$1:E$9960,MATCH($A90,ESLData!$B$1:$B$9960,0))*-1</f>
        <v>0</v>
      </c>
      <c r="E90" s="143">
        <f>HLOOKUP("start",ESLData!F$1:F$9960,MATCH($A90,ESLData!$B$1:$B$9960,0))*-1</f>
        <v>0</v>
      </c>
      <c r="G90" s="143">
        <f>HLOOKUP("start",ESLData!H$1:H$9960,MATCH($A90,ESLData!$B$1:$B$9960,0))*-1</f>
        <v>0</v>
      </c>
      <c r="J90" s="156" t="s">
        <v>987</v>
      </c>
      <c r="K90" s="142" t="str">
        <f>IF(ISNA(HLOOKUP("start",ESLData!C$1:C$9960,MATCH($A90,ESLData!$B$1:$B$9960,0))),"",HLOOKUP("start",ESLData!C$1:C$9960,MATCH($A90,ESLData!$B$1:$B$9960,0)))</f>
        <v>Hostels Trading Income</v>
      </c>
    </row>
    <row r="91" spans="1:11" ht="14.25" customHeight="1" x14ac:dyDescent="0.2">
      <c r="A91" s="144">
        <v>24200</v>
      </c>
      <c r="C91" s="143">
        <f>HLOOKUP("start",ESLData!E$1:E$9960,MATCH($A91,ESLData!$B$1:$B$9960,0))*-1</f>
        <v>236.52</v>
      </c>
      <c r="E91" s="143">
        <f>HLOOKUP("start",ESLData!F$1:F$9960,MATCH($A91,ESLData!$B$1:$B$9960,0))*-1</f>
        <v>0</v>
      </c>
      <c r="G91" s="143">
        <f>HLOOKUP("start",ESLData!H$1:H$9960,MATCH($A91,ESLData!$B$1:$B$9960,0))*-1</f>
        <v>238.26</v>
      </c>
      <c r="J91" s="156" t="s">
        <v>987</v>
      </c>
      <c r="K91" s="142" t="str">
        <f>IF(ISNA(HLOOKUP("start",ESLData!C$1:C$9960,MATCH($A91,ESLData!$B$1:$B$9960,0))),"",HLOOKUP("start",ESLData!C$1:C$9960,MATCH($A91,ESLData!$B$1:$B$9960,0)))</f>
        <v>Vision Clinic Trading Income</v>
      </c>
    </row>
    <row r="92" spans="1:11" ht="14.25" customHeight="1" x14ac:dyDescent="0.2">
      <c r="A92" s="144">
        <v>24400</v>
      </c>
      <c r="C92" s="143">
        <f>HLOOKUP("start",ESLData!E$1:E$9960,MATCH($A92,ESLData!$B$1:$B$9960,0))*-1</f>
        <v>30543.42</v>
      </c>
      <c r="E92" s="143">
        <f>HLOOKUP("start",ESLData!F$1:F$9960,MATCH($A92,ESLData!$B$1:$B$9960,0))*-1</f>
        <v>0</v>
      </c>
      <c r="G92" s="143">
        <f>HLOOKUP("start",ESLData!H$1:H$9960,MATCH($A92,ESLData!$B$1:$B$9960,0))*-1</f>
        <v>35037.72</v>
      </c>
      <c r="J92" s="156" t="s">
        <v>987</v>
      </c>
      <c r="K92" s="142" t="str">
        <f>IF(ISNA(HLOOKUP("start",ESLData!C$1:C$9960,MATCH($A92,ESLData!$B$1:$B$9960,0))),"",HLOOKUP("start",ESLData!C$1:C$9960,MATCH($A92,ESLData!$B$1:$B$9960,0)))</f>
        <v>Auckland South VRC Income</v>
      </c>
    </row>
    <row r="93" spans="1:11" ht="14.25" customHeight="1" x14ac:dyDescent="0.2">
      <c r="A93" s="144">
        <v>24600</v>
      </c>
      <c r="C93" s="143">
        <f>HLOOKUP("start",ESLData!E$1:E$9960,MATCH($A93,ESLData!$B$1:$B$9960,0))*-1</f>
        <v>13574.82</v>
      </c>
      <c r="E93" s="143">
        <f>HLOOKUP("start",ESLData!F$1:F$9960,MATCH($A93,ESLData!$B$1:$B$9960,0))*-1</f>
        <v>18900</v>
      </c>
      <c r="G93" s="143">
        <f>HLOOKUP("start",ESLData!H$1:H$9960,MATCH($A93,ESLData!$B$1:$B$9960,0))*-1</f>
        <v>29725.37</v>
      </c>
      <c r="J93" s="156" t="s">
        <v>987</v>
      </c>
      <c r="K93" s="142" t="str">
        <f>IF(ISNA(HLOOKUP("start",ESLData!C$1:C$9960,MATCH($A93,ESLData!$B$1:$B$9960,0))),"",HLOOKUP("start",ESLData!C$1:C$9960,MATCH($A93,ESLData!$B$1:$B$9960,0)))</f>
        <v>Northland VRC Income</v>
      </c>
    </row>
    <row r="94" spans="1:11" ht="14.25" customHeight="1" x14ac:dyDescent="0.2">
      <c r="A94" s="144">
        <v>24700</v>
      </c>
      <c r="C94" s="143">
        <f>HLOOKUP("start",ESLData!E$1:E$9960,MATCH($A94,ESLData!$B$1:$B$9960,0))*-1</f>
        <v>30729.4</v>
      </c>
      <c r="E94" s="143">
        <f>HLOOKUP("start",ESLData!F$1:F$9960,MATCH($A94,ESLData!$B$1:$B$9960,0))*-1</f>
        <v>37800</v>
      </c>
      <c r="G94" s="143">
        <f>HLOOKUP("start",ESLData!H$1:H$9960,MATCH($A94,ESLData!$B$1:$B$9960,0))*-1</f>
        <v>24257.1</v>
      </c>
      <c r="J94" s="156" t="s">
        <v>987</v>
      </c>
      <c r="K94" s="142" t="str">
        <f>IF(ISNA(HLOOKUP("start",ESLData!C$1:C$9960,MATCH($A94,ESLData!$B$1:$B$9960,0))),"",HLOOKUP("start",ESLData!C$1:C$9960,MATCH($A94,ESLData!$B$1:$B$9960,0)))</f>
        <v>Auckland North VRC Income</v>
      </c>
    </row>
    <row r="95" spans="1:11" ht="14.25" customHeight="1" x14ac:dyDescent="0.2">
      <c r="A95" s="144">
        <v>24800</v>
      </c>
      <c r="C95" s="143">
        <f>HLOOKUP("start",ESLData!E$1:E$9960,MATCH($A95,ESLData!$B$1:$B$9960,0))*-1</f>
        <v>0</v>
      </c>
      <c r="E95" s="143">
        <f>HLOOKUP("start",ESLData!F$1:F$9960,MATCH($A95,ESLData!$B$1:$B$9960,0))*-1</f>
        <v>0</v>
      </c>
      <c r="G95" s="143">
        <f>HLOOKUP("start",ESLData!H$1:H$9960,MATCH($A95,ESLData!$B$1:$B$9960,0))*-1</f>
        <v>0</v>
      </c>
      <c r="J95" s="156" t="s">
        <v>987</v>
      </c>
      <c r="K95" s="142" t="str">
        <f>IF(ISNA(HLOOKUP("start",ESLData!C$1:C$9960,MATCH($A95,ESLData!$B$1:$B$9960,0))),"",HLOOKUP("start",ESLData!C$1:C$9960,MATCH($A95,ESLData!$B$1:$B$9960,0)))</f>
        <v>Nelson VRC - Income</v>
      </c>
    </row>
    <row r="96" spans="1:11" ht="14.25" customHeight="1" x14ac:dyDescent="0.2">
      <c r="A96" s="144">
        <v>24802</v>
      </c>
      <c r="C96" s="143">
        <f>HLOOKUP("start",ESLData!E$1:E$9960,MATCH($A96,ESLData!$B$1:$B$9960,0))*-1</f>
        <v>391.32</v>
      </c>
      <c r="E96" s="143">
        <f>HLOOKUP("start",ESLData!F$1:F$9960,MATCH($A96,ESLData!$B$1:$B$9960,0))*-1</f>
        <v>0</v>
      </c>
      <c r="G96" s="143">
        <f>HLOOKUP("start",ESLData!H$1:H$9960,MATCH($A96,ESLData!$B$1:$B$9960,0))*-1</f>
        <v>0</v>
      </c>
      <c r="J96" s="156" t="s">
        <v>987</v>
      </c>
      <c r="K96" s="142" t="str">
        <f>IF(ISNA(HLOOKUP("start",ESLData!C$1:C$9960,MATCH($A96,ESLData!$B$1:$B$9960,0))),"",HLOOKUP("start",ESLData!C$1:C$9960,MATCH($A96,ESLData!$B$1:$B$9960,0)))</f>
        <v>Otago VRC - Income</v>
      </c>
    </row>
    <row r="97" spans="1:11" ht="14.25" customHeight="1" x14ac:dyDescent="0.2">
      <c r="A97" s="144">
        <v>24804</v>
      </c>
      <c r="C97" s="143">
        <f>HLOOKUP("start",ESLData!E$1:E$9960,MATCH($A97,ESLData!$B$1:$B$9960,0))*-1</f>
        <v>2009.85</v>
      </c>
      <c r="E97" s="143">
        <f>HLOOKUP("start",ESLData!F$1:F$9960,MATCH($A97,ESLData!$B$1:$B$9960,0))*-1</f>
        <v>0</v>
      </c>
      <c r="G97" s="143">
        <f>HLOOKUP("start",ESLData!H$1:H$9960,MATCH($A97,ESLData!$B$1:$B$9960,0))*-1</f>
        <v>1471.35</v>
      </c>
      <c r="J97" s="156"/>
    </row>
    <row r="98" spans="1:11" ht="14.25" customHeight="1" x14ac:dyDescent="0.2">
      <c r="A98" s="144">
        <v>24820</v>
      </c>
      <c r="C98" s="143">
        <f>HLOOKUP("start",ESLData!E$1:E$9960,MATCH($A98,ESLData!$B$1:$B$9960,0))*-1</f>
        <v>0</v>
      </c>
      <c r="E98" s="143">
        <f>HLOOKUP("start",ESLData!F$1:F$9960,MATCH($A98,ESLData!$B$1:$B$9960,0))*-1</f>
        <v>0</v>
      </c>
      <c r="G98" s="143">
        <f>HLOOKUP("start",ESLData!H$1:H$9960,MATCH($A98,ESLData!$B$1:$B$9960,0))*-1</f>
        <v>0</v>
      </c>
      <c r="J98" s="156" t="s">
        <v>987</v>
      </c>
      <c r="K98" s="142" t="str">
        <f>IF(ISNA(HLOOKUP("start",ESLData!C$1:C$9960,MATCH($A98,ESLData!$B$1:$B$9960,0))),"",HLOOKUP("start",ESLData!C$1:C$9960,MATCH($A98,ESLData!$B$1:$B$9960,0)))</f>
        <v>Southland VRC - Income</v>
      </c>
    </row>
    <row r="99" spans="1:11" ht="14.25" customHeight="1" x14ac:dyDescent="0.2">
      <c r="A99" s="144">
        <v>24830</v>
      </c>
      <c r="C99" s="143">
        <f>HLOOKUP("start",ESLData!E$1:E$9960,MATCH($A99,ESLData!$B$1:$B$9960,0))*-1</f>
        <v>8487.2000000000007</v>
      </c>
      <c r="E99" s="143">
        <f>HLOOKUP("start",ESLData!F$1:F$9960,MATCH($A99,ESLData!$B$1:$B$9960,0))*-1</f>
        <v>9450</v>
      </c>
      <c r="G99" s="143">
        <f>HLOOKUP("start",ESLData!H$1:H$9960,MATCH($A99,ESLData!$B$1:$B$9960,0))*-1</f>
        <v>31456.69</v>
      </c>
      <c r="J99" s="156" t="s">
        <v>987</v>
      </c>
      <c r="K99" s="142" t="str">
        <f>IF(ISNA(HLOOKUP("start",ESLData!C$1:C$9960,MATCH($A99,ESLData!$B$1:$B$9960,0))),"",HLOOKUP("start",ESLData!C$1:C$9960,MATCH($A99,ESLData!$B$1:$B$9960,0)))</f>
        <v>Christchurch VRC - Income</v>
      </c>
    </row>
    <row r="100" spans="1:11" ht="14.25" customHeight="1" x14ac:dyDescent="0.2">
      <c r="A100" s="144">
        <v>24840</v>
      </c>
      <c r="C100" s="143">
        <f>HLOOKUP("start",ESLData!E$1:E$9960,MATCH($A100,ESLData!$B$1:$B$9960,0))*-1</f>
        <v>643.5</v>
      </c>
      <c r="E100" s="143">
        <f>HLOOKUP("start",ESLData!F$1:F$9960,MATCH($A100,ESLData!$B$1:$B$9960,0))*-1</f>
        <v>0</v>
      </c>
      <c r="G100" s="143">
        <f>HLOOKUP("start",ESLData!H$1:H$9960,MATCH($A100,ESLData!$B$1:$B$9960,0))*-1</f>
        <v>444.34</v>
      </c>
      <c r="J100" s="156" t="s">
        <v>987</v>
      </c>
      <c r="K100" s="142" t="str">
        <f>IF(ISNA(HLOOKUP("start",ESLData!C$1:C$9960,MATCH($A100,ESLData!$B$1:$B$9960,0))),"",HLOOKUP("start",ESLData!C$1:C$9960,MATCH($A100,ESLData!$B$1:$B$9960,0)))</f>
        <v>Palmerston North VRC - Income</v>
      </c>
    </row>
    <row r="101" spans="1:11" ht="14.25" customHeight="1" x14ac:dyDescent="0.2">
      <c r="A101" s="144">
        <v>24850</v>
      </c>
      <c r="C101" s="143">
        <f>HLOOKUP("start",ESLData!E$1:E$9960,MATCH($A101,ESLData!$B$1:$B$9960,0))*-1</f>
        <v>1950.65</v>
      </c>
      <c r="E101" s="143">
        <f>HLOOKUP("start",ESLData!F$1:F$9960,MATCH($A101,ESLData!$B$1:$B$9960,0))*-1</f>
        <v>0</v>
      </c>
      <c r="G101" s="143">
        <f>HLOOKUP("start",ESLData!H$1:H$9960,MATCH($A101,ESLData!$B$1:$B$9960,0))*-1</f>
        <v>477.68</v>
      </c>
      <c r="J101" s="156" t="s">
        <v>987</v>
      </c>
      <c r="K101" s="142" t="str">
        <f>IF(ISNA(HLOOKUP("start",ESLData!C$1:C$9960,MATCH($A101,ESLData!$B$1:$B$9960,0))),"",HLOOKUP("start",ESLData!C$1:C$9960,MATCH($A101,ESLData!$B$1:$B$9960,0)))</f>
        <v>Hamilton VRC - Income</v>
      </c>
    </row>
    <row r="102" spans="1:11" ht="14.25" customHeight="1" x14ac:dyDescent="0.2">
      <c r="A102" s="144">
        <v>24860</v>
      </c>
      <c r="C102" s="143">
        <f>HLOOKUP("start",ESLData!E$1:E$9960,MATCH($A102,ESLData!$B$1:$B$9960,0))*-1</f>
        <v>13035.95</v>
      </c>
      <c r="E102" s="143">
        <f>HLOOKUP("start",ESLData!F$1:F$9960,MATCH($A102,ESLData!$B$1:$B$9960,0))*-1</f>
        <v>9450</v>
      </c>
      <c r="G102" s="143">
        <f>HLOOKUP("start",ESLData!H$1:H$9960,MATCH($A102,ESLData!$B$1:$B$9960,0))*-1</f>
        <v>16036.01</v>
      </c>
      <c r="J102" s="156" t="s">
        <v>987</v>
      </c>
      <c r="K102" s="142" t="str">
        <f>IF(ISNA(HLOOKUP("start",ESLData!C$1:C$9960,MATCH($A102,ESLData!$B$1:$B$9960,0))),"",HLOOKUP("start",ESLData!C$1:C$9960,MATCH($A102,ESLData!$B$1:$B$9960,0)))</f>
        <v>Tauranga VRC - Income</v>
      </c>
    </row>
    <row r="103" spans="1:11" ht="14.25" customHeight="1" x14ac:dyDescent="0.2">
      <c r="A103" s="144">
        <v>24870</v>
      </c>
      <c r="C103" s="143">
        <f>HLOOKUP("start",ESLData!E$1:E$9960,MATCH($A103,ESLData!$B$1:$B$9960,0))*-1</f>
        <v>1408.92</v>
      </c>
      <c r="E103" s="143">
        <f>HLOOKUP("start",ESLData!F$1:F$9960,MATCH($A103,ESLData!$B$1:$B$9960,0))*-1</f>
        <v>0</v>
      </c>
      <c r="G103" s="143">
        <f>HLOOKUP("start",ESLData!H$1:H$9960,MATCH($A103,ESLData!$B$1:$B$9960,0))*-1</f>
        <v>0</v>
      </c>
      <c r="J103" s="156" t="s">
        <v>987</v>
      </c>
      <c r="K103" s="142" t="str">
        <f>IF(ISNA(HLOOKUP("start",ESLData!C$1:C$9960,MATCH($A103,ESLData!$B$1:$B$9960,0))),"",HLOOKUP("start",ESLData!C$1:C$9960,MATCH($A103,ESLData!$B$1:$B$9960,0)))</f>
        <v>Taranaki VRC - Income</v>
      </c>
    </row>
    <row r="104" spans="1:11" ht="14.25" customHeight="1" x14ac:dyDescent="0.2">
      <c r="A104" s="144">
        <v>24880</v>
      </c>
      <c r="C104" s="143">
        <f>HLOOKUP("start",ESLData!E$1:E$9960,MATCH($A104,ESLData!$B$1:$B$9960,0))*-1</f>
        <v>0</v>
      </c>
      <c r="E104" s="143">
        <f>HLOOKUP("start",ESLData!F$1:F$9960,MATCH($A104,ESLData!$B$1:$B$9960,0))*-1</f>
        <v>9450</v>
      </c>
      <c r="G104" s="143">
        <f>HLOOKUP("start",ESLData!H$1:H$9960,MATCH($A104,ESLData!$B$1:$B$9960,0))*-1</f>
        <v>0</v>
      </c>
      <c r="J104" s="156" t="s">
        <v>987</v>
      </c>
      <c r="K104" s="142" t="str">
        <f>IF(ISNA(HLOOKUP("start",ESLData!C$1:C$9960,MATCH($A104,ESLData!$B$1:$B$9960,0))),"",HLOOKUP("start",ESLData!C$1:C$9960,MATCH($A104,ESLData!$B$1:$B$9960,0)))</f>
        <v>Napier VRC - Income</v>
      </c>
    </row>
    <row r="105" spans="1:11" ht="14.25" customHeight="1" x14ac:dyDescent="0.2">
      <c r="A105" s="144">
        <v>24890</v>
      </c>
      <c r="C105" s="143">
        <f>HLOOKUP("start",ESLData!E$1:E$9960,MATCH($A105,ESLData!$B$1:$B$9960,0))*-1</f>
        <v>0</v>
      </c>
      <c r="E105" s="143">
        <f>HLOOKUP("start",ESLData!F$1:F$9960,MATCH($A105,ESLData!$B$1:$B$9960,0))*-1</f>
        <v>0</v>
      </c>
      <c r="G105" s="143">
        <f>HLOOKUP("start",ESLData!H$1:H$9960,MATCH($A105,ESLData!$B$1:$B$9960,0))*-1</f>
        <v>0</v>
      </c>
      <c r="J105" s="156" t="s">
        <v>987</v>
      </c>
      <c r="K105" s="142" t="str">
        <f>IF(ISNA(HLOOKUP("start",ESLData!C$1:C$9960,MATCH($A105,ESLData!$B$1:$B$9960,0))),"",HLOOKUP("start",ESLData!C$1:C$9960,MATCH($A105,ESLData!$B$1:$B$9960,0)))</f>
        <v>Gisborne VRC - Income</v>
      </c>
    </row>
    <row r="106" spans="1:11" ht="14.25" customHeight="1" x14ac:dyDescent="0.2">
      <c r="A106" s="144">
        <v>24900</v>
      </c>
      <c r="C106" s="143">
        <f>HLOOKUP("start",ESLData!E$1:E$9960,MATCH($A106,ESLData!$B$1:$B$9960,0))*-1</f>
        <v>46718.37</v>
      </c>
      <c r="D106" s="162">
        <f>ROUND(SUM(C83:C106),0)</f>
        <v>153080</v>
      </c>
      <c r="E106" s="143">
        <f>HLOOKUP("start",ESLData!F$1:F$9960,MATCH($A106,ESLData!$B$1:$B$9960,0))*-1</f>
        <v>37800</v>
      </c>
      <c r="F106" s="155">
        <f>ROUND(SUM(E83:E106),0)</f>
        <v>122850</v>
      </c>
      <c r="G106" s="143">
        <f>HLOOKUP("start",ESLData!H$1:H$9960,MATCH($A106,ESLData!$B$1:$B$9960,0))*-1</f>
        <v>45936.71</v>
      </c>
      <c r="H106" s="162">
        <f>ROUND(SUM(G83:G106),0)</f>
        <v>184771</v>
      </c>
      <c r="J106" s="156" t="s">
        <v>987</v>
      </c>
      <c r="K106" s="142" t="str">
        <f>IF(ISNA(HLOOKUP("start",ESLData!C$1:C$9960,MATCH($A106,ESLData!$B$1:$B$9960,0))),"",HLOOKUP("start",ESLData!C$1:C$9960,MATCH($A106,ESLData!$B$1:$B$9960,0)))</f>
        <v>Wellington VRC - Income</v>
      </c>
    </row>
    <row r="107" spans="1:11" ht="14.25" customHeight="1" x14ac:dyDescent="0.2">
      <c r="A107" s="147" t="s">
        <v>416</v>
      </c>
      <c r="C107" s="143"/>
      <c r="E107" s="143"/>
      <c r="G107" s="143"/>
      <c r="J107" s="156" t="s">
        <v>987</v>
      </c>
      <c r="K107" s="142" t="str">
        <f>IF(ISNA(HLOOKUP("start",ESLData!C$1:C$9960,MATCH($A107,ESLData!$B$1:$B$9960,0))),"",HLOOKUP("start",ESLData!C$1:C$9960,MATCH($A107,ESLData!$B$1:$B$9960,0)))</f>
        <v/>
      </c>
    </row>
    <row r="108" spans="1:11" ht="14.25" customHeight="1" x14ac:dyDescent="0.2">
      <c r="A108" s="144">
        <v>21900</v>
      </c>
      <c r="C108" s="143">
        <f>HLOOKUP("start",ESLData!E$1:E$9960,MATCH($A108,ESLData!$B$1:$B$9960,0))</f>
        <v>0</v>
      </c>
      <c r="E108" s="143">
        <f>HLOOKUP("start",ESLData!F$1:F$9960,MATCH($A108,ESLData!$B$1:$B$9960,0))</f>
        <v>0</v>
      </c>
      <c r="G108" s="143">
        <f>HLOOKUP("start",ESLData!H$1:H$9960,MATCH($A108,ESLData!$B$1:$B$9960,0))</f>
        <v>0</v>
      </c>
      <c r="J108" s="156" t="s">
        <v>987</v>
      </c>
      <c r="K108" s="142" t="str">
        <f>IF(ISNA(HLOOKUP("start",ESLData!C$1:C$9960,MATCH($A108,ESLData!$B$1:$B$9960,0))),"",HLOOKUP("start",ESLData!C$1:C$9960,MATCH($A108,ESLData!$B$1:$B$9960,0)))</f>
        <v>Kickstart Expenditure</v>
      </c>
    </row>
    <row r="109" spans="1:11" ht="14.25" customHeight="1" x14ac:dyDescent="0.2">
      <c r="A109" s="144">
        <v>22100</v>
      </c>
      <c r="C109" s="143">
        <f>HLOOKUP("start",ESLData!E$1:E$9960,MATCH($A109,ESLData!$B$1:$B$9960,0))</f>
        <v>1765.21</v>
      </c>
      <c r="E109" s="143">
        <f>HLOOKUP("start",ESLData!F$1:F$9960,MATCH($A109,ESLData!$B$1:$B$9960,0))</f>
        <v>0</v>
      </c>
      <c r="G109" s="143">
        <f>HLOOKUP("start",ESLData!H$1:H$9960,MATCH($A109,ESLData!$B$1:$B$9960,0))</f>
        <v>0</v>
      </c>
      <c r="J109" s="156" t="s">
        <v>987</v>
      </c>
      <c r="K109" s="142" t="str">
        <f>IF(ISNA(HLOOKUP("start",ESLData!C$1:C$9960,MATCH($A109,ESLData!$B$1:$B$9960,0))),"",HLOOKUP("start",ESLData!C$1:C$9960,MATCH($A109,ESLData!$B$1:$B$9960,0)))</f>
        <v>Hostel Expense</v>
      </c>
    </row>
    <row r="110" spans="1:11" ht="14.25" customHeight="1" x14ac:dyDescent="0.2">
      <c r="A110" s="144">
        <v>22300</v>
      </c>
      <c r="C110" s="143">
        <f>HLOOKUP("start",ESLData!E$1:E$9960,MATCH($A110,ESLData!$B$1:$B$9960,0))</f>
        <v>0</v>
      </c>
      <c r="E110" s="143">
        <f>HLOOKUP("start",ESLData!F$1:F$9960,MATCH($A110,ESLData!$B$1:$B$9960,0))</f>
        <v>0</v>
      </c>
      <c r="G110" s="143">
        <f>HLOOKUP("start",ESLData!H$1:H$9960,MATCH($A110,ESLData!$B$1:$B$9960,0))</f>
        <v>0</v>
      </c>
      <c r="J110" s="156" t="s">
        <v>987</v>
      </c>
      <c r="K110" s="142" t="str">
        <f>IF(ISNA(HLOOKUP("start",ESLData!C$1:C$9960,MATCH($A110,ESLData!$B$1:$B$9960,0))),"",HLOOKUP("start",ESLData!C$1:C$9960,MATCH($A110,ESLData!$B$1:$B$9960,0)))</f>
        <v>Itinerant Inservice Expense</v>
      </c>
    </row>
    <row r="111" spans="1:11" ht="14.25" customHeight="1" x14ac:dyDescent="0.2">
      <c r="A111" s="144">
        <v>22500</v>
      </c>
      <c r="C111" s="143">
        <f>HLOOKUP("start",ESLData!E$1:E$9960,MATCH($A111,ESLData!$B$1:$B$9960,0))</f>
        <v>0</v>
      </c>
      <c r="E111" s="143">
        <f>HLOOKUP("start",ESLData!F$1:F$9960,MATCH($A111,ESLData!$B$1:$B$9960,0))</f>
        <v>0</v>
      </c>
      <c r="G111" s="143">
        <f>HLOOKUP("start",ESLData!H$1:H$9960,MATCH($A111,ESLData!$B$1:$B$9960,0))</f>
        <v>0</v>
      </c>
      <c r="J111" s="156" t="s">
        <v>987</v>
      </c>
      <c r="K111" s="142" t="str">
        <f>IF(ISNA(HLOOKUP("start",ESLData!C$1:C$9960,MATCH($A111,ESLData!$B$1:$B$9960,0))),"",HLOOKUP("start",ESLData!C$1:C$9960,MATCH($A111,ESLData!$B$1:$B$9960,0)))</f>
        <v>Braille Training Exp</v>
      </c>
    </row>
    <row r="112" spans="1:11" ht="14.25" customHeight="1" x14ac:dyDescent="0.2">
      <c r="A112" s="144">
        <v>23300</v>
      </c>
      <c r="C112" s="143">
        <f>HLOOKUP("start",ESLData!E$1:E$9960,MATCH($A112,ESLData!$B$1:$B$9960,0))</f>
        <v>0</v>
      </c>
      <c r="E112" s="143">
        <f>HLOOKUP("start",ESLData!F$1:F$9960,MATCH($A112,ESLData!$B$1:$B$9960,0))</f>
        <v>0</v>
      </c>
      <c r="G112" s="143">
        <f>HLOOKUP("start",ESLData!H$1:H$9960,MATCH($A112,ESLData!$B$1:$B$9960,0))</f>
        <v>0</v>
      </c>
      <c r="J112" s="156" t="s">
        <v>987</v>
      </c>
      <c r="K112" s="142" t="str">
        <f>IF(ISNA(HLOOKUP("start",ESLData!C$1:C$9960,MATCH($A112,ESLData!$B$1:$B$9960,0))),"",HLOOKUP("start",ESLData!C$1:C$9960,MATCH($A112,ESLData!$B$1:$B$9960,0)))</f>
        <v>Hire School Facilities Expd</v>
      </c>
    </row>
    <row r="113" spans="1:11" ht="14.25" customHeight="1" x14ac:dyDescent="0.2">
      <c r="A113" s="144">
        <v>23500</v>
      </c>
      <c r="C113" s="143">
        <f>HLOOKUP("start",ESLData!E$1:E$9960,MATCH($A113,ESLData!$B$1:$B$9960,0))</f>
        <v>0</v>
      </c>
      <c r="E113" s="143">
        <f>HLOOKUP("start",ESLData!F$1:F$9960,MATCH($A113,ESLData!$B$1:$B$9960,0))</f>
        <v>0</v>
      </c>
      <c r="G113" s="143">
        <f>HLOOKUP("start",ESLData!H$1:H$9960,MATCH($A113,ESLData!$B$1:$B$9960,0))</f>
        <v>0</v>
      </c>
      <c r="J113" s="156" t="s">
        <v>987</v>
      </c>
      <c r="K113" s="142" t="str">
        <f>IF(ISNA(HLOOKUP("start",ESLData!C$1:C$9960,MATCH($A113,ESLData!$B$1:$B$9960,0))),"",HLOOKUP("start",ESLData!C$1:C$9960,MATCH($A113,ESLData!$B$1:$B$9960,0)))</f>
        <v>Homai Campus Expenses</v>
      </c>
    </row>
    <row r="114" spans="1:11" ht="14.25" customHeight="1" x14ac:dyDescent="0.2">
      <c r="A114" s="144">
        <v>23700</v>
      </c>
      <c r="C114" s="143">
        <f>HLOOKUP("start",ESLData!E$1:E$9960,MATCH($A114,ESLData!$B$1:$B$9960,0))</f>
        <v>0</v>
      </c>
      <c r="E114" s="143">
        <f>HLOOKUP("start",ESLData!F$1:F$9960,MATCH($A114,ESLData!$B$1:$B$9960,0))</f>
        <v>0</v>
      </c>
      <c r="G114" s="143">
        <f>HLOOKUP("start",ESLData!H$1:H$9960,MATCH($A114,ESLData!$B$1:$B$9960,0))</f>
        <v>0</v>
      </c>
      <c r="J114" s="156" t="s">
        <v>987</v>
      </c>
      <c r="K114" s="142" t="str">
        <f>IF(ISNA(HLOOKUP("start",ESLData!C$1:C$9960,MATCH($A114,ESLData!$B$1:$B$9960,0))),"",HLOOKUP("start",ESLData!C$1:C$9960,MATCH($A114,ESLData!$B$1:$B$9960,0)))</f>
        <v>Rental Expenditure</v>
      </c>
    </row>
    <row r="115" spans="1:11" ht="14.25" customHeight="1" x14ac:dyDescent="0.2">
      <c r="A115" s="144">
        <v>24100</v>
      </c>
      <c r="C115" s="143">
        <f>HLOOKUP("start",ESLData!E$1:E$9960,MATCH($A115,ESLData!$B$1:$B$9960,0))</f>
        <v>0</v>
      </c>
      <c r="E115" s="143">
        <f>HLOOKUP("start",ESLData!F$1:F$9960,MATCH($A115,ESLData!$B$1:$B$9960,0))</f>
        <v>0</v>
      </c>
      <c r="G115" s="143">
        <f>HLOOKUP("start",ESLData!H$1:H$9960,MATCH($A115,ESLData!$B$1:$B$9960,0))</f>
        <v>0</v>
      </c>
      <c r="J115" s="156" t="s">
        <v>987</v>
      </c>
      <c r="K115" s="142" t="str">
        <f>IF(ISNA(HLOOKUP("start",ESLData!C$1:C$9960,MATCH($A115,ESLData!$B$1:$B$9960,0))),"",HLOOKUP("start",ESLData!C$1:C$9960,MATCH($A115,ESLData!$B$1:$B$9960,0)))</f>
        <v>Hostels Trading Expenditure</v>
      </c>
    </row>
    <row r="116" spans="1:11" ht="14.25" customHeight="1" x14ac:dyDescent="0.2">
      <c r="A116" s="144">
        <v>24300</v>
      </c>
      <c r="C116" s="143">
        <f>HLOOKUP("start",ESLData!E$1:E$9960,MATCH($A116,ESLData!$B$1:$B$9960,0))</f>
        <v>27.74</v>
      </c>
      <c r="E116" s="143">
        <f>HLOOKUP("start",ESLData!F$1:F$9960,MATCH($A116,ESLData!$B$1:$B$9960,0))</f>
        <v>0</v>
      </c>
      <c r="G116" s="143">
        <f>HLOOKUP("start",ESLData!H$1:H$9960,MATCH($A116,ESLData!$B$1:$B$9960,0))</f>
        <v>1160.51</v>
      </c>
      <c r="J116" s="156" t="s">
        <v>987</v>
      </c>
      <c r="K116" s="142" t="str">
        <f>IF(ISNA(HLOOKUP("start",ESLData!C$1:C$9960,MATCH($A116,ESLData!$B$1:$B$9960,0))),"",HLOOKUP("start",ESLData!C$1:C$9960,MATCH($A116,ESLData!$B$1:$B$9960,0)))</f>
        <v>Vision Clinic Trading Expd</v>
      </c>
    </row>
    <row r="117" spans="1:11" ht="14.25" customHeight="1" x14ac:dyDescent="0.2">
      <c r="A117" s="144">
        <v>24500</v>
      </c>
      <c r="C117" s="143">
        <f>HLOOKUP("start",ESLData!E$1:E$9960,MATCH($A117,ESLData!$B$1:$B$9960,0))</f>
        <v>9461.5499999999993</v>
      </c>
      <c r="E117" s="143">
        <f>HLOOKUP("start",ESLData!F$1:F$9960,MATCH($A117,ESLData!$B$1:$B$9960,0))</f>
        <v>0</v>
      </c>
      <c r="G117" s="143">
        <f>HLOOKUP("start",ESLData!H$1:H$9960,MATCH($A117,ESLData!$B$1:$B$9960,0))</f>
        <v>34766.629999999997</v>
      </c>
      <c r="J117" s="156" t="s">
        <v>987</v>
      </c>
      <c r="K117" s="142" t="str">
        <f>IF(ISNA(HLOOKUP("start",ESLData!C$1:C$9960,MATCH($A117,ESLData!$B$1:$B$9960,0))),"",HLOOKUP("start",ESLData!C$1:C$9960,MATCH($A117,ESLData!$B$1:$B$9960,0)))</f>
        <v>Auckland South VRC Expenses</v>
      </c>
    </row>
    <row r="118" spans="1:11" ht="14.25" customHeight="1" x14ac:dyDescent="0.2">
      <c r="A118" s="144">
        <v>24650</v>
      </c>
      <c r="C118" s="143">
        <f>HLOOKUP("start",ESLData!E$1:E$9960,MATCH($A118,ESLData!$B$1:$B$9960,0))</f>
        <v>8875.2099999999991</v>
      </c>
      <c r="E118" s="143">
        <f>HLOOKUP("start",ESLData!F$1:F$9960,MATCH($A118,ESLData!$B$1:$B$9960,0))</f>
        <v>18900</v>
      </c>
      <c r="G118" s="143">
        <f>HLOOKUP("start",ESLData!H$1:H$9960,MATCH($A118,ESLData!$B$1:$B$9960,0))</f>
        <v>879.86</v>
      </c>
      <c r="J118" s="156" t="s">
        <v>987</v>
      </c>
      <c r="K118" s="142" t="str">
        <f>IF(ISNA(HLOOKUP("start",ESLData!C$1:C$9960,MATCH($A118,ESLData!$B$1:$B$9960,0))),"",HLOOKUP("start",ESLData!C$1:C$9960,MATCH($A118,ESLData!$B$1:$B$9960,0)))</f>
        <v>Northland VRC Expenses</v>
      </c>
    </row>
    <row r="119" spans="1:11" ht="14.25" customHeight="1" x14ac:dyDescent="0.2">
      <c r="A119" s="144">
        <v>24750</v>
      </c>
      <c r="C119" s="143">
        <f>HLOOKUP("start",ESLData!E$1:E$9960,MATCH($A119,ESLData!$B$1:$B$9960,0))</f>
        <v>962.06</v>
      </c>
      <c r="E119" s="143">
        <f>HLOOKUP("start",ESLData!F$1:F$9960,MATCH($A119,ESLData!$B$1:$B$9960,0))</f>
        <v>37800</v>
      </c>
      <c r="G119" s="143">
        <f>HLOOKUP("start",ESLData!H$1:H$9960,MATCH($A119,ESLData!$B$1:$B$9960,0))</f>
        <v>3891.07</v>
      </c>
      <c r="J119" s="156" t="s">
        <v>987</v>
      </c>
      <c r="K119" s="142" t="str">
        <f>IF(ISNA(HLOOKUP("start",ESLData!C$1:C$9960,MATCH($A119,ESLData!$B$1:$B$9960,0))),"",HLOOKUP("start",ESLData!C$1:C$9960,MATCH($A119,ESLData!$B$1:$B$9960,0)))</f>
        <v>Auckland North VRC Expenses</v>
      </c>
    </row>
    <row r="120" spans="1:11" ht="14.25" customHeight="1" x14ac:dyDescent="0.2">
      <c r="A120" s="144">
        <v>24801</v>
      </c>
      <c r="C120" s="143">
        <f>HLOOKUP("start",ESLData!E$1:E$9960,MATCH($A120,ESLData!$B$1:$B$9960,0))</f>
        <v>0</v>
      </c>
      <c r="E120" s="143">
        <f>HLOOKUP("start",ESLData!F$1:F$9960,MATCH($A120,ESLData!$B$1:$B$9960,0))</f>
        <v>0</v>
      </c>
      <c r="G120" s="143">
        <f>HLOOKUP("start",ESLData!H$1:H$9960,MATCH($A120,ESLData!$B$1:$B$9960,0))</f>
        <v>0</v>
      </c>
      <c r="J120" s="156" t="s">
        <v>987</v>
      </c>
      <c r="K120" s="142" t="str">
        <f>IF(ISNA(HLOOKUP("start",ESLData!C$1:C$9960,MATCH($A120,ESLData!$B$1:$B$9960,0))),"",HLOOKUP("start",ESLData!C$1:C$9960,MATCH($A120,ESLData!$B$1:$B$9960,0)))</f>
        <v>Nelson VRC Expenses</v>
      </c>
    </row>
    <row r="121" spans="1:11" ht="14.25" customHeight="1" x14ac:dyDescent="0.2">
      <c r="A121" s="144">
        <v>24803</v>
      </c>
      <c r="C121" s="143">
        <f>HLOOKUP("start",ESLData!E$1:E$9960,MATCH($A121,ESLData!$B$1:$B$9960,0))</f>
        <v>352.9</v>
      </c>
      <c r="E121" s="143">
        <f>HLOOKUP("start",ESLData!F$1:F$9960,MATCH($A121,ESLData!$B$1:$B$9960,0))</f>
        <v>0</v>
      </c>
      <c r="G121" s="143">
        <f>HLOOKUP("start",ESLData!H$1:H$9960,MATCH($A121,ESLData!$B$1:$B$9960,0))</f>
        <v>0</v>
      </c>
      <c r="J121" s="156" t="s">
        <v>987</v>
      </c>
      <c r="K121" s="142" t="str">
        <f>IF(ISNA(HLOOKUP("start",ESLData!C$1:C$9960,MATCH($A121,ESLData!$B$1:$B$9960,0))),"",HLOOKUP("start",ESLData!C$1:C$9960,MATCH($A121,ESLData!$B$1:$B$9960,0)))</f>
        <v>Otago VRC - Expenses</v>
      </c>
    </row>
    <row r="122" spans="1:11" ht="14.25" customHeight="1" x14ac:dyDescent="0.2">
      <c r="A122" s="144">
        <v>24805</v>
      </c>
      <c r="C122" s="143">
        <f>HLOOKUP("start",ESLData!E$1:E$9960,MATCH($A122,ESLData!$B$1:$B$9960,0))</f>
        <v>1379.91</v>
      </c>
      <c r="E122" s="143">
        <f>HLOOKUP("start",ESLData!F$1:F$9960,MATCH($A122,ESLData!$B$1:$B$9960,0))</f>
        <v>0</v>
      </c>
      <c r="G122" s="143">
        <f>HLOOKUP("start",ESLData!H$1:H$9960,MATCH($A122,ESLData!$B$1:$B$9960,0))</f>
        <v>1491.17</v>
      </c>
      <c r="J122" s="156"/>
    </row>
    <row r="123" spans="1:11" ht="14.25" customHeight="1" x14ac:dyDescent="0.2">
      <c r="A123" s="144">
        <v>24821</v>
      </c>
      <c r="C123" s="143">
        <f>HLOOKUP("start",ESLData!E$1:E$9960,MATCH($A123,ESLData!$B$1:$B$9960,0))</f>
        <v>0</v>
      </c>
      <c r="E123" s="143">
        <f>HLOOKUP("start",ESLData!F$1:F$9960,MATCH($A123,ESLData!$B$1:$B$9960,0))</f>
        <v>0</v>
      </c>
      <c r="G123" s="143">
        <f>HLOOKUP("start",ESLData!H$1:H$9960,MATCH($A123,ESLData!$B$1:$B$9960,0))</f>
        <v>0</v>
      </c>
      <c r="J123" s="156" t="s">
        <v>987</v>
      </c>
      <c r="K123" s="142" t="str">
        <f>IF(ISNA(HLOOKUP("start",ESLData!C$1:C$9960,MATCH($A123,ESLData!$B$1:$B$9960,0))),"",HLOOKUP("start",ESLData!C$1:C$9960,MATCH($A123,ESLData!$B$1:$B$9960,0)))</f>
        <v>Southland VRC - Expenses</v>
      </c>
    </row>
    <row r="124" spans="1:11" ht="14.25" customHeight="1" x14ac:dyDescent="0.2">
      <c r="A124" s="144">
        <v>24831</v>
      </c>
      <c r="C124" s="143">
        <f>HLOOKUP("start",ESLData!E$1:E$9960,MATCH($A124,ESLData!$B$1:$B$9960,0))</f>
        <v>19124.400000000001</v>
      </c>
      <c r="E124" s="143">
        <f>HLOOKUP("start",ESLData!F$1:F$9960,MATCH($A124,ESLData!$B$1:$B$9960,0))</f>
        <v>9450</v>
      </c>
      <c r="G124" s="143">
        <f>HLOOKUP("start",ESLData!H$1:H$9960,MATCH($A124,ESLData!$B$1:$B$9960,0))</f>
        <v>15101.75</v>
      </c>
      <c r="J124" s="156" t="s">
        <v>987</v>
      </c>
      <c r="K124" s="142" t="str">
        <f>IF(ISNA(HLOOKUP("start",ESLData!C$1:C$9960,MATCH($A124,ESLData!$B$1:$B$9960,0))),"",HLOOKUP("start",ESLData!C$1:C$9960,MATCH($A124,ESLData!$B$1:$B$9960,0)))</f>
        <v>Christchurch VRC - Expenses</v>
      </c>
    </row>
    <row r="125" spans="1:11" ht="14.25" customHeight="1" x14ac:dyDescent="0.2">
      <c r="A125" s="144">
        <v>24841</v>
      </c>
      <c r="C125" s="143">
        <f>HLOOKUP("start",ESLData!E$1:E$9960,MATCH($A125,ESLData!$B$1:$B$9960,0))</f>
        <v>170.8</v>
      </c>
      <c r="E125" s="143">
        <f>HLOOKUP("start",ESLData!F$1:F$9960,MATCH($A125,ESLData!$B$1:$B$9960,0))</f>
        <v>0</v>
      </c>
      <c r="G125" s="143">
        <f>HLOOKUP("start",ESLData!H$1:H$9960,MATCH($A125,ESLData!$B$1:$B$9960,0))</f>
        <v>0</v>
      </c>
      <c r="J125" s="156" t="s">
        <v>987</v>
      </c>
      <c r="K125" s="142" t="str">
        <f>IF(ISNA(HLOOKUP("start",ESLData!C$1:C$9960,MATCH($A125,ESLData!$B$1:$B$9960,0))),"",HLOOKUP("start",ESLData!C$1:C$9960,MATCH($A125,ESLData!$B$1:$B$9960,0)))</f>
        <v>Palmerston North VRC - Expense</v>
      </c>
    </row>
    <row r="126" spans="1:11" ht="14.25" customHeight="1" x14ac:dyDescent="0.2">
      <c r="A126" s="144">
        <v>24851</v>
      </c>
      <c r="C126" s="143">
        <f>HLOOKUP("start",ESLData!E$1:E$9960,MATCH($A126,ESLData!$B$1:$B$9960,0))</f>
        <v>0</v>
      </c>
      <c r="E126" s="143">
        <f>HLOOKUP("start",ESLData!F$1:F$9960,MATCH($A126,ESLData!$B$1:$B$9960,0))</f>
        <v>0</v>
      </c>
      <c r="G126" s="143">
        <f>HLOOKUP("start",ESLData!H$1:H$9960,MATCH($A126,ESLData!$B$1:$B$9960,0))</f>
        <v>0</v>
      </c>
      <c r="J126" s="156" t="s">
        <v>987</v>
      </c>
      <c r="K126" s="142" t="str">
        <f>IF(ISNA(HLOOKUP("start",ESLData!C$1:C$9960,MATCH($A126,ESLData!$B$1:$B$9960,0))),"",HLOOKUP("start",ESLData!C$1:C$9960,MATCH($A126,ESLData!$B$1:$B$9960,0)))</f>
        <v>Hamilton VRC - Expenses</v>
      </c>
    </row>
    <row r="127" spans="1:11" ht="14.25" customHeight="1" x14ac:dyDescent="0.2">
      <c r="A127" s="144">
        <v>24861</v>
      </c>
      <c r="C127" s="143">
        <f>HLOOKUP("start",ESLData!E$1:E$9960,MATCH($A127,ESLData!$B$1:$B$9960,0))</f>
        <v>1514.39</v>
      </c>
      <c r="E127" s="143">
        <f>HLOOKUP("start",ESLData!F$1:F$9960,MATCH($A127,ESLData!$B$1:$B$9960,0))</f>
        <v>9450</v>
      </c>
      <c r="G127" s="143">
        <f>HLOOKUP("start",ESLData!H$1:H$9960,MATCH($A127,ESLData!$B$1:$B$9960,0))</f>
        <v>1155.3499999999999</v>
      </c>
      <c r="J127" s="156" t="s">
        <v>987</v>
      </c>
      <c r="K127" s="142" t="str">
        <f>IF(ISNA(HLOOKUP("start",ESLData!C$1:C$9960,MATCH($A127,ESLData!$B$1:$B$9960,0))),"",HLOOKUP("start",ESLData!C$1:C$9960,MATCH($A127,ESLData!$B$1:$B$9960,0)))</f>
        <v>Tauranga VRC - Expenses</v>
      </c>
    </row>
    <row r="128" spans="1:11" ht="14.25" customHeight="1" x14ac:dyDescent="0.2">
      <c r="A128" s="144">
        <v>24871</v>
      </c>
      <c r="C128" s="143">
        <f>HLOOKUP("start",ESLData!E$1:E$9960,MATCH($A128,ESLData!$B$1:$B$9960,0))</f>
        <v>1149.33</v>
      </c>
      <c r="E128" s="143">
        <f>HLOOKUP("start",ESLData!F$1:F$9960,MATCH($A128,ESLData!$B$1:$B$9960,0))</f>
        <v>0</v>
      </c>
      <c r="G128" s="143">
        <f>HLOOKUP("start",ESLData!H$1:H$9960,MATCH($A128,ESLData!$B$1:$B$9960,0))</f>
        <v>0</v>
      </c>
      <c r="J128" s="156" t="s">
        <v>987</v>
      </c>
      <c r="K128" s="142" t="str">
        <f>IF(ISNA(HLOOKUP("start",ESLData!C$1:C$9960,MATCH($A128,ESLData!$B$1:$B$9960,0))),"",HLOOKUP("start",ESLData!C$1:C$9960,MATCH($A128,ESLData!$B$1:$B$9960,0)))</f>
        <v>Taranaki VRC - Expenses</v>
      </c>
    </row>
    <row r="129" spans="1:12" ht="14.25" customHeight="1" x14ac:dyDescent="0.2">
      <c r="A129" s="144">
        <v>24881</v>
      </c>
      <c r="C129" s="143">
        <f>HLOOKUP("start",ESLData!E$1:E$9960,MATCH($A129,ESLData!$B$1:$B$9960,0))</f>
        <v>0</v>
      </c>
      <c r="E129" s="143">
        <f>HLOOKUP("start",ESLData!F$1:F$9960,MATCH($A129,ESLData!$B$1:$B$9960,0))</f>
        <v>9450</v>
      </c>
      <c r="G129" s="143">
        <f>HLOOKUP("start",ESLData!H$1:H$9960,MATCH($A129,ESLData!$B$1:$B$9960,0))</f>
        <v>0</v>
      </c>
      <c r="J129" s="156" t="s">
        <v>987</v>
      </c>
      <c r="K129" s="142" t="str">
        <f>IF(ISNA(HLOOKUP("start",ESLData!C$1:C$9960,MATCH($A129,ESLData!$B$1:$B$9960,0))),"",HLOOKUP("start",ESLData!C$1:C$9960,MATCH($A129,ESLData!$B$1:$B$9960,0)))</f>
        <v>Napier VRC - Expenses</v>
      </c>
    </row>
    <row r="130" spans="1:12" ht="14.25" customHeight="1" x14ac:dyDescent="0.2">
      <c r="A130" s="144">
        <v>24891</v>
      </c>
      <c r="C130" s="143">
        <f>HLOOKUP("start",ESLData!E$1:E$9960,MATCH($A130,ESLData!$B$1:$B$9960,0))</f>
        <v>121.74</v>
      </c>
      <c r="E130" s="143">
        <f>HLOOKUP("start",ESLData!F$1:F$9960,MATCH($A130,ESLData!$B$1:$B$9960,0))</f>
        <v>0</v>
      </c>
      <c r="G130" s="143">
        <f>HLOOKUP("start",ESLData!H$1:H$9960,MATCH($A130,ESLData!$B$1:$B$9960,0))</f>
        <v>0</v>
      </c>
      <c r="J130" s="156" t="s">
        <v>987</v>
      </c>
      <c r="K130" s="142" t="str">
        <f>IF(ISNA(HLOOKUP("start",ESLData!C$1:C$9960,MATCH($A130,ESLData!$B$1:$B$9960,0))),"",HLOOKUP("start",ESLData!C$1:C$9960,MATCH($A130,ESLData!$B$1:$B$9960,0)))</f>
        <v>Gisborne VRC - Expenses</v>
      </c>
    </row>
    <row r="131" spans="1:12" ht="14.25" customHeight="1" x14ac:dyDescent="0.2">
      <c r="A131" s="144">
        <v>24901</v>
      </c>
      <c r="C131" s="143">
        <f>HLOOKUP("start",ESLData!E$1:E$9960,MATCH($A131,ESLData!$B$1:$B$9960,0))</f>
        <v>70734.25</v>
      </c>
      <c r="D131" s="162">
        <f>ROUND(SUM(C108:C131),0)</f>
        <v>115639</v>
      </c>
      <c r="E131" s="143">
        <f>HLOOKUP("start",ESLData!F$1:F$9960,MATCH($A131,ESLData!$B$1:$B$9960,0))</f>
        <v>37800</v>
      </c>
      <c r="F131" s="155">
        <f>ROUND(SUM(E108:E131),0)</f>
        <v>122850</v>
      </c>
      <c r="G131" s="143">
        <f>HLOOKUP("start",ESLData!H$1:H$9960,MATCH($A131,ESLData!$B$1:$B$9960,0))</f>
        <v>41333.919999999998</v>
      </c>
      <c r="H131" s="162">
        <f>ROUND(SUM(G108:G131),0)</f>
        <v>99780</v>
      </c>
      <c r="J131" s="156" t="s">
        <v>987</v>
      </c>
      <c r="K131" s="142" t="str">
        <f>IF(ISNA(HLOOKUP("start",ESLData!C$1:C$9960,MATCH($A131,ESLData!$B$1:$B$9960,0))),"",HLOOKUP("start",ESLData!C$1:C$9960,MATCH($A131,ESLData!$B$1:$B$9960,0)))</f>
        <v>Wellington VRC - Expenses</v>
      </c>
    </row>
    <row r="132" spans="1:12" ht="14.25" customHeight="1" x14ac:dyDescent="0.2">
      <c r="A132" s="147" t="s">
        <v>608</v>
      </c>
      <c r="C132" s="143"/>
      <c r="E132" s="143"/>
      <c r="G132" s="143"/>
      <c r="J132" s="156" t="s">
        <v>987</v>
      </c>
      <c r="K132" s="142" t="str">
        <f>IF(ISNA(HLOOKUP("start",ESLData!C$1:C$9960,MATCH($A132,ESLData!$B$1:$B$9960,0))),"",HLOOKUP("start",ESLData!C$1:C$9960,MATCH($A132,ESLData!$B$1:$B$9960,0)))</f>
        <v/>
      </c>
    </row>
    <row r="133" spans="1:12" ht="14.25" customHeight="1" x14ac:dyDescent="0.2">
      <c r="A133" s="144">
        <v>10530</v>
      </c>
      <c r="C133" s="143">
        <f>HLOOKUP("start",ESLData!E$1:E$9960,MATCH($A133,ESLData!$B$1:$B$9960,0))*-1</f>
        <v>521590.75</v>
      </c>
      <c r="D133" s="163">
        <f>ROUND(SUM(C133),0)</f>
        <v>521591</v>
      </c>
      <c r="E133" s="143">
        <f>HLOOKUP("start",ESLData!F$1:F$9960,MATCH($A133,ESLData!$B$1:$B$9960,0))*-1</f>
        <v>90000</v>
      </c>
      <c r="F133" s="148">
        <f>ROUND(SUM(E133),0)</f>
        <v>90000</v>
      </c>
      <c r="G133" s="143">
        <f>HLOOKUP("start",ESLData!H$1:H$9960,MATCH($A133,ESLData!$B$1:$B$9960,0))*-1</f>
        <v>170478.92</v>
      </c>
      <c r="H133" s="168">
        <f>ROUND(SUM(G133),0)</f>
        <v>170479</v>
      </c>
      <c r="J133" s="156" t="s">
        <v>987</v>
      </c>
      <c r="K133" s="142" t="str">
        <f>IF(ISNA(HLOOKUP("start",ESLData!C$1:C$9960,MATCH($A133,ESLData!$B$1:$B$9960,0))),"",HLOOKUP("start",ESLData!C$1:C$9960,MATCH($A133,ESLData!$B$1:$B$9960,0)))</f>
        <v>Interest Received</v>
      </c>
    </row>
    <row r="134" spans="1:12" ht="14.25" customHeight="1" x14ac:dyDescent="0.2">
      <c r="C134" s="143"/>
      <c r="E134" s="143"/>
      <c r="G134" s="143"/>
      <c r="K134" s="142" t="str">
        <f>IF(ISNA(HLOOKUP("start",ESLData!C$1:C$9960,MATCH($A134,ESLData!$B$1:$B$9960,0))),"",HLOOKUP("start",ESLData!C$1:C$9960,MATCH($A134,ESLData!$B$1:$B$9960,0)))</f>
        <v/>
      </c>
    </row>
    <row r="135" spans="1:12" s="154" customFormat="1" ht="14.25" customHeight="1" x14ac:dyDescent="0.2">
      <c r="A135" s="151" t="s">
        <v>977</v>
      </c>
      <c r="B135" s="142"/>
      <c r="C135" s="143"/>
      <c r="D135" s="142"/>
      <c r="E135" s="143"/>
      <c r="F135" s="142"/>
      <c r="G135" s="143"/>
      <c r="H135" s="142"/>
      <c r="K135" s="142" t="str">
        <f>IF(ISNA(HLOOKUP("start",ESLData!C$1:C$9960,MATCH($A135,ESLData!$B$1:$B$9960,0))),"",HLOOKUP("start",ESLData!C$1:C$9960,MATCH($A135,ESLData!$B$1:$B$9960,0)))</f>
        <v/>
      </c>
    </row>
    <row r="136" spans="1:12" ht="14.25" customHeight="1" x14ac:dyDescent="0.2">
      <c r="A136" s="147" t="s">
        <v>617</v>
      </c>
      <c r="C136" s="143"/>
      <c r="E136" s="143"/>
      <c r="G136" s="143"/>
      <c r="K136" s="142" t="str">
        <f>IF(ISNA(HLOOKUP("start",ESLData!C$1:C$9960,MATCH($A136,ESLData!$B$1:$B$9960,0))),"",HLOOKUP("start",ESLData!C$1:C$9960,MATCH($A136,ESLData!$B$1:$B$9960,0)))</f>
        <v/>
      </c>
    </row>
    <row r="137" spans="1:12" ht="14.25" customHeight="1" x14ac:dyDescent="0.2">
      <c r="A137" s="144">
        <v>30521</v>
      </c>
      <c r="C137" s="143">
        <f>HLOOKUP("start",ESLData!E$1:E$9960,MATCH($A137,ESLData!$B$1:$B$9960,0))</f>
        <v>8739.2900000000009</v>
      </c>
      <c r="E137" s="143">
        <f>HLOOKUP("start",ESLData!F$1:F$9960,MATCH($A137,ESLData!$B$1:$B$9960,0))</f>
        <v>8000</v>
      </c>
      <c r="G137" s="143">
        <f>HLOOKUP("start",ESLData!H$1:H$9960,MATCH($A137,ESLData!$B$1:$B$9960,0))</f>
        <v>7354.3</v>
      </c>
      <c r="J137" s="156" t="s">
        <v>987</v>
      </c>
      <c r="K137" s="142" t="str">
        <f>IF(ISNA(HLOOKUP("start",ESLData!C$1:C$9960,MATCH($A137,ESLData!$B$1:$B$9960,0))),"",HLOOKUP("start",ESLData!C$1:C$9960,MATCH($A137,ESLData!$B$1:$B$9960,0)))</f>
        <v>Nz Curriculum</v>
      </c>
    </row>
    <row r="138" spans="1:12" ht="14.25" customHeight="1" x14ac:dyDescent="0.2">
      <c r="A138" s="144">
        <v>31010</v>
      </c>
      <c r="C138" s="143">
        <f>HLOOKUP("start",ESLData!E$1:E$9960,MATCH($A138,ESLData!$B$1:$B$9960,0))</f>
        <v>1207.97</v>
      </c>
      <c r="E138" s="143">
        <f>HLOOKUP("start",ESLData!F$1:F$9960,MATCH($A138,ESLData!$B$1:$B$9960,0))</f>
        <v>1000</v>
      </c>
      <c r="G138" s="143">
        <f>HLOOKUP("start",ESLData!H$1:H$9960,MATCH($A138,ESLData!$B$1:$B$9960,0))</f>
        <v>0</v>
      </c>
      <c r="J138" s="156" t="s">
        <v>987</v>
      </c>
      <c r="K138" s="142" t="str">
        <f>IF(ISNA(HLOOKUP("start",ESLData!C$1:C$9960,MATCH($A138,ESLData!$B$1:$B$9960,0))),"",HLOOKUP("start",ESLData!C$1:C$9960,MATCH($A138,ESLData!$B$1:$B$9960,0)))</f>
        <v>JCHS Use of Facilities</v>
      </c>
    </row>
    <row r="139" spans="1:12" ht="14.25" customHeight="1" x14ac:dyDescent="0.2">
      <c r="A139" s="144">
        <v>31011</v>
      </c>
      <c r="C139" s="143">
        <f>HLOOKUP("start",ESLData!E$1:E$9960,MATCH($A139,ESLData!$B$1:$B$9960,0))</f>
        <v>162.46</v>
      </c>
      <c r="E139" s="143">
        <f>HLOOKUP("start",ESLData!F$1:F$9960,MATCH($A139,ESLData!$B$1:$B$9960,0))</f>
        <v>0</v>
      </c>
      <c r="G139" s="143">
        <f>HLOOKUP("start",ESLData!H$1:H$9960,MATCH($A139,ESLData!$B$1:$B$9960,0))</f>
        <v>110.32</v>
      </c>
      <c r="J139" s="156"/>
    </row>
    <row r="140" spans="1:12" ht="14.25" customHeight="1" x14ac:dyDescent="0.2">
      <c r="A140" s="144">
        <v>30570</v>
      </c>
      <c r="C140" s="143">
        <f>HLOOKUP("start",ESLData!E$1:E$9960,MATCH($A140,ESLData!$B$1:$B$9960,0))</f>
        <v>8881.32</v>
      </c>
      <c r="E140" s="143">
        <f>HLOOKUP("start",ESLData!F$1:F$9960,MATCH($A140,ESLData!$B$1:$B$9960,0))</f>
        <v>12000</v>
      </c>
      <c r="G140" s="143">
        <f>HLOOKUP("start",ESLData!H$1:H$9960,MATCH($A140,ESLData!$B$1:$B$9960,0))</f>
        <v>5379.83</v>
      </c>
      <c r="J140" s="156" t="s">
        <v>987</v>
      </c>
      <c r="K140" s="142" t="str">
        <f>IF(ISNA(HLOOKUP("start",ESLData!C$1:C$9960,MATCH($A140,ESLData!$B$1:$B$9960,0))),"",HLOOKUP("start",ESLData!C$1:C$9960,MATCH($A140,ESLData!$B$1:$B$9960,0)))</f>
        <v>Ict-Consumables</v>
      </c>
    </row>
    <row r="141" spans="1:12" ht="14.25" customHeight="1" x14ac:dyDescent="0.2">
      <c r="A141" s="144">
        <v>30600</v>
      </c>
      <c r="C141" s="143">
        <f>HLOOKUP("start",ESLData!E$1:E$9960,MATCH($A141,ESLData!$B$1:$B$9960,0))</f>
        <v>2083.2199999999998</v>
      </c>
      <c r="E141" s="143">
        <f>HLOOKUP("start",ESLData!F$1:F$9960,MATCH($A141,ESLData!$B$1:$B$9960,0))</f>
        <v>2000</v>
      </c>
      <c r="G141" s="143">
        <f>HLOOKUP("start",ESLData!H$1:H$9960,MATCH($A141,ESLData!$B$1:$B$9960,0))</f>
        <v>2040.26</v>
      </c>
      <c r="J141" s="156" t="s">
        <v>987</v>
      </c>
      <c r="K141" s="142" t="str">
        <f>IF(ISNA(HLOOKUP("start",ESLData!C$1:C$9960,MATCH($A141,ESLData!$B$1:$B$9960,0))),"",HLOOKUP("start",ESLData!C$1:C$9960,MATCH($A141,ESLData!$B$1:$B$9960,0)))</f>
        <v>Transition Programme</v>
      </c>
      <c r="L141" s="146" t="s">
        <v>781</v>
      </c>
    </row>
    <row r="142" spans="1:12" ht="14.25" customHeight="1" x14ac:dyDescent="0.2">
      <c r="A142" s="144">
        <v>30601</v>
      </c>
      <c r="C142" s="143">
        <f>HLOOKUP("start",ESLData!E$1:E$9960,MATCH($A142,ESLData!$B$1:$B$9960,0))</f>
        <v>19761.400000000001</v>
      </c>
      <c r="E142" s="143">
        <f>HLOOKUP("start",ESLData!F$1:F$9960,MATCH($A142,ESLData!$B$1:$B$9960,0))</f>
        <v>13600</v>
      </c>
      <c r="G142" s="143">
        <f>HLOOKUP("start",ESLData!H$1:H$9960,MATCH($A142,ESLData!$B$1:$B$9960,0))</f>
        <v>10737.11</v>
      </c>
      <c r="J142" s="156"/>
      <c r="L142" s="146"/>
    </row>
    <row r="143" spans="1:12" ht="14.25" customHeight="1" x14ac:dyDescent="0.2">
      <c r="A143" s="144">
        <v>30571</v>
      </c>
      <c r="C143" s="143">
        <f>HLOOKUP("start",ESLData!E$1:E$9960,MATCH($A143,ESLData!$B$1:$B$9960,0))</f>
        <v>0</v>
      </c>
      <c r="E143" s="143">
        <f>HLOOKUP("start",ESLData!F$1:F$9960,MATCH($A143,ESLData!$B$1:$B$9960,0))</f>
        <v>5600</v>
      </c>
      <c r="G143" s="143">
        <f>HLOOKUP("start",ESLData!H$1:H$9960,MATCH($A143,ESLData!$B$1:$B$9960,0))</f>
        <v>0</v>
      </c>
      <c r="J143" s="156" t="s">
        <v>987</v>
      </c>
      <c r="K143" s="142" t="str">
        <f>IF(ISNA(HLOOKUP("start",ESLData!C$1:C$9960,MATCH($A143,ESLData!$B$1:$B$9960,0))),"",HLOOKUP("start",ESLData!C$1:C$9960,MATCH($A143,ESLData!$B$1:$B$9960,0)))</f>
        <v>STAR Courses</v>
      </c>
    </row>
    <row r="144" spans="1:12" ht="14.25" customHeight="1" x14ac:dyDescent="0.2">
      <c r="A144" s="144">
        <v>30660</v>
      </c>
      <c r="C144" s="143">
        <f>HLOOKUP("start",ESLData!E$1:E$9960,MATCH($A144,ESLData!$B$1:$B$9960,0))</f>
        <v>0</v>
      </c>
      <c r="E144" s="143">
        <f>HLOOKUP("start",ESLData!F$1:F$9960,MATCH($A144,ESLData!$B$1:$B$9960,0))</f>
        <v>0</v>
      </c>
      <c r="G144" s="143">
        <f>HLOOKUP("start",ESLData!H$1:H$9960,MATCH($A144,ESLData!$B$1:$B$9960,0))</f>
        <v>0</v>
      </c>
      <c r="J144" s="156" t="s">
        <v>987</v>
      </c>
      <c r="K144" s="142" t="str">
        <f>IF(ISNA(HLOOKUP("start",ESLData!C$1:C$9960,MATCH($A144,ESLData!$B$1:$B$9960,0))),"",HLOOKUP("start",ESLData!C$1:C$9960,MATCH($A144,ESLData!$B$1:$B$9960,0)))</f>
        <v>Special Education</v>
      </c>
    </row>
    <row r="145" spans="1:13" ht="14.25" customHeight="1" x14ac:dyDescent="0.2">
      <c r="A145" s="144">
        <v>30710</v>
      </c>
      <c r="C145" s="143">
        <f>HLOOKUP("start",ESLData!E$1:E$9960,MATCH($A145,ESLData!$B$1:$B$9960,0))</f>
        <v>719.59</v>
      </c>
      <c r="D145" s="148"/>
      <c r="E145" s="143">
        <f>HLOOKUP("start",ESLData!F$1:F$9960,MATCH($A145,ESLData!$B$1:$B$9960,0))</f>
        <v>1080</v>
      </c>
      <c r="F145" s="148"/>
      <c r="G145" s="143">
        <f>HLOOKUP("start",ESLData!H$1:H$9960,MATCH($A145,ESLData!$B$1:$B$9960,0))</f>
        <v>635.34</v>
      </c>
      <c r="H145" s="148"/>
      <c r="J145" s="156" t="s">
        <v>987</v>
      </c>
      <c r="K145" s="142" t="str">
        <f>IF(ISNA(HLOOKUP("start",ESLData!C$1:C$9960,MATCH($A145,ESLData!$B$1:$B$9960,0))),"",HLOOKUP("start",ESLData!C$1:C$9960,MATCH($A145,ESLData!$B$1:$B$9960,0)))</f>
        <v>Kiwisport</v>
      </c>
    </row>
    <row r="146" spans="1:13" ht="14.25" customHeight="1" x14ac:dyDescent="0.2">
      <c r="A146" s="144">
        <v>30230</v>
      </c>
      <c r="C146" s="143">
        <f>HLOOKUP("start",ESLData!E$1:E$9960,MATCH($A146,ESLData!$B$1:$B$9960,0))</f>
        <v>2047.13</v>
      </c>
      <c r="E146" s="143">
        <f>HLOOKUP("start",ESLData!F$1:F$9960,MATCH($A146,ESLData!$B$1:$B$9960,0))</f>
        <v>3000</v>
      </c>
      <c r="G146" s="143">
        <f>HLOOKUP("start",ESLData!H$1:H$9960,MATCH($A146,ESLData!$B$1:$B$9960,0))</f>
        <v>1763.69</v>
      </c>
      <c r="J146" s="156" t="s">
        <v>987</v>
      </c>
      <c r="K146" s="142" t="str">
        <f>IF(ISNA(HLOOKUP("start",ESLData!C$1:C$9960,MATCH($A146,ESLData!$B$1:$B$9960,0))),"",HLOOKUP("start",ESLData!C$1:C$9960,MATCH($A146,ESLData!$B$1:$B$9960,0)))</f>
        <v>Reimbursements</v>
      </c>
    </row>
    <row r="147" spans="1:13" ht="14.25" customHeight="1" x14ac:dyDescent="0.2">
      <c r="A147" s="144">
        <v>30240</v>
      </c>
      <c r="C147" s="143">
        <f>HLOOKUP("start",ESLData!E$1:E$9960,MATCH($A147,ESLData!$B$1:$B$9960,0))</f>
        <v>335.37</v>
      </c>
      <c r="E147" s="143">
        <f>HLOOKUP("start",ESLData!F$1:F$9960,MATCH($A147,ESLData!$B$1:$B$9960,0))</f>
        <v>1700</v>
      </c>
      <c r="G147" s="143">
        <f>HLOOKUP("start",ESLData!H$1:H$9960,MATCH($A147,ESLData!$B$1:$B$9960,0))</f>
        <v>1526.25</v>
      </c>
      <c r="J147" s="156" t="s">
        <v>987</v>
      </c>
      <c r="K147" s="142" t="str">
        <f>IF(ISNA(HLOOKUP("start",ESLData!C$1:C$9960,MATCH($A147,ESLData!$B$1:$B$9960,0))),"",HLOOKUP("start",ESLData!C$1:C$9960,MATCH($A147,ESLData!$B$1:$B$9960,0)))</f>
        <v>Subscriptions</v>
      </c>
    </row>
    <row r="148" spans="1:13" ht="14.25" customHeight="1" x14ac:dyDescent="0.2">
      <c r="A148" s="144">
        <v>33550</v>
      </c>
      <c r="C148" s="143">
        <f>HLOOKUP("start",ESLData!E$1:E$9960,MATCH($A148,ESLData!$B$1:$B$9960,0))</f>
        <v>0</v>
      </c>
      <c r="D148" s="148"/>
      <c r="E148" s="143">
        <f>HLOOKUP("start",ESLData!F$1:F$9960,MATCH($A148,ESLData!$B$1:$B$9960,0))</f>
        <v>0</v>
      </c>
      <c r="F148" s="148"/>
      <c r="G148" s="143">
        <f>HLOOKUP("start",ESLData!H$1:H$9960,MATCH($A148,ESLData!$B$1:$B$9960,0))</f>
        <v>0</v>
      </c>
      <c r="H148" s="148"/>
      <c r="J148" s="156" t="s">
        <v>987</v>
      </c>
      <c r="K148" s="142" t="str">
        <f>IF(ISNA(HLOOKUP("start",ESLData!C$1:C$9960,MATCH($A148,ESLData!$B$1:$B$9960,0))),"",HLOOKUP("start",ESLData!C$1:C$9960,MATCH($A148,ESLData!$B$1:$B$9960,0)))</f>
        <v>Taxi Escorts</v>
      </c>
    </row>
    <row r="149" spans="1:13" ht="14.25" customHeight="1" x14ac:dyDescent="0.2">
      <c r="A149" s="144">
        <v>30695</v>
      </c>
      <c r="C149" s="143">
        <f>HLOOKUP("start",ESLData!E$1:E$9960,MATCH($A149,ESLData!$B$1:$B$9960,0))</f>
        <v>8531.42</v>
      </c>
      <c r="E149" s="143">
        <f>HLOOKUP("start",ESLData!F$1:F$9960,MATCH($A149,ESLData!$B$1:$B$9960,0))</f>
        <v>5000</v>
      </c>
      <c r="G149" s="143">
        <f>HLOOKUP("start",ESLData!H$1:H$9960,MATCH($A149,ESLData!$B$1:$B$9960,0))</f>
        <v>4125.22</v>
      </c>
      <c r="J149" s="156" t="s">
        <v>987</v>
      </c>
      <c r="K149" s="142" t="str">
        <f>IF(ISNA(HLOOKUP("start",ESLData!C$1:C$9960,MATCH($A149,ESLData!$B$1:$B$9960,0))),"",HLOOKUP("start",ESLData!C$1:C$9960,MATCH($A149,ESLData!$B$1:$B$9960,0)))</f>
        <v>General Consumables</v>
      </c>
    </row>
    <row r="150" spans="1:13" ht="14.25" customHeight="1" x14ac:dyDescent="0.2">
      <c r="A150" s="144">
        <v>30700</v>
      </c>
      <c r="C150" s="143">
        <f>HLOOKUP("start",ESLData!E$1:E$9960,MATCH($A150,ESLData!$B$1:$B$9960,0))</f>
        <v>731.89</v>
      </c>
      <c r="E150" s="143">
        <f>HLOOKUP("start",ESLData!F$1:F$9960,MATCH($A150,ESLData!$B$1:$B$9960,0))</f>
        <v>1200</v>
      </c>
      <c r="G150" s="143">
        <f>HLOOKUP("start",ESLData!H$1:H$9960,MATCH($A150,ESLData!$B$1:$B$9960,0))</f>
        <v>906.77</v>
      </c>
      <c r="J150" s="156" t="s">
        <v>987</v>
      </c>
      <c r="K150" s="142" t="str">
        <f>IF(ISNA(HLOOKUP("start",ESLData!C$1:C$9960,MATCH($A150,ESLData!$B$1:$B$9960,0))),"",HLOOKUP("start",ESLData!C$1:C$9960,MATCH($A150,ESLData!$B$1:$B$9960,0)))</f>
        <v>Stationery</v>
      </c>
    </row>
    <row r="151" spans="1:13" ht="14.25" customHeight="1" x14ac:dyDescent="0.2">
      <c r="A151" s="144">
        <v>30525</v>
      </c>
      <c r="C151" s="143">
        <f>HLOOKUP("start",ESLData!E$1:E$9960,MATCH($A151,ESLData!$B$1:$B$9960,0))</f>
        <v>4552.25</v>
      </c>
      <c r="E151" s="143">
        <f>HLOOKUP("start",ESLData!F$1:F$9960,MATCH($A151,ESLData!$B$1:$B$9960,0))</f>
        <v>2000</v>
      </c>
      <c r="G151" s="143">
        <f>HLOOKUP("start",ESLData!H$1:H$9960,MATCH($A151,ESLData!$B$1:$B$9960,0))</f>
        <v>277.14999999999998</v>
      </c>
      <c r="J151" s="156" t="s">
        <v>987</v>
      </c>
      <c r="K151" s="142" t="str">
        <f>IF(ISNA(HLOOKUP("start",ESLData!C$1:C$9960,MATCH($A151,ESLData!$B$1:$B$9960,0))),"",HLOOKUP("start",ESLData!C$1:C$9960,MATCH($A151,ESLData!$B$1:$B$9960,0)))</f>
        <v>Photocopying</v>
      </c>
    </row>
    <row r="152" spans="1:13" ht="14.25" customHeight="1" x14ac:dyDescent="0.2">
      <c r="A152" s="144">
        <v>31040</v>
      </c>
      <c r="C152" s="143">
        <f>HLOOKUP("start",ESLData!E$1:E$9960,MATCH($A152,ESLData!$B$1:$B$9960,0))</f>
        <v>0</v>
      </c>
      <c r="E152" s="143">
        <f>HLOOKUP("start",ESLData!F$1:F$9960,MATCH($A152,ESLData!$B$1:$B$9960,0))</f>
        <v>0</v>
      </c>
      <c r="G152" s="143">
        <f>HLOOKUP("start",ESLData!H$1:H$9960,MATCH($A152,ESLData!$B$1:$B$9960,0))</f>
        <v>0</v>
      </c>
      <c r="J152" s="156" t="s">
        <v>987</v>
      </c>
      <c r="K152" s="142" t="str">
        <f>IF(ISNA(HLOOKUP("start",ESLData!C$1:C$9960,MATCH($A152,ESLData!$B$1:$B$9960,0))),"",HLOOKUP("start",ESLData!C$1:C$9960,MATCH($A152,ESLData!$B$1:$B$9960,0)))</f>
        <v>JCHS Consumables</v>
      </c>
      <c r="M152" s="146" t="s">
        <v>781</v>
      </c>
    </row>
    <row r="153" spans="1:13" ht="14.25" customHeight="1" x14ac:dyDescent="0.2">
      <c r="A153" s="144">
        <v>31045</v>
      </c>
      <c r="C153" s="143">
        <f>HLOOKUP("start",ESLData!E$1:E$9960,MATCH($A153,ESLData!$B$1:$B$9960,0))</f>
        <v>0</v>
      </c>
      <c r="E153" s="143">
        <f>HLOOKUP("start",ESLData!F$1:F$9960,MATCH($A153,ESLData!$B$1:$B$9960,0))</f>
        <v>0</v>
      </c>
      <c r="G153" s="143">
        <f>HLOOKUP("start",ESLData!H$1:H$9960,MATCH($A153,ESLData!$B$1:$B$9960,0))</f>
        <v>0</v>
      </c>
      <c r="J153" s="156" t="s">
        <v>987</v>
      </c>
      <c r="K153" s="142" t="str">
        <f>IF(ISNA(HLOOKUP("start",ESLData!C$1:C$9960,MATCH($A153,ESLData!$B$1:$B$9960,0))),"",HLOOKUP("start",ESLData!C$1:C$9960,MATCH($A153,ESLData!$B$1:$B$9960,0)))</f>
        <v>JCHS Curriculum Resources</v>
      </c>
    </row>
    <row r="154" spans="1:13" ht="14.25" customHeight="1" x14ac:dyDescent="0.2">
      <c r="A154" s="144">
        <v>32000</v>
      </c>
      <c r="C154" s="143">
        <f>HLOOKUP("start",ESLData!E$1:E$9960,MATCH($A154,ESLData!$B$1:$B$9960,0))</f>
        <v>0</v>
      </c>
      <c r="E154" s="143">
        <f>HLOOKUP("start",ESLData!F$1:F$9960,MATCH($A154,ESLData!$B$1:$B$9960,0))</f>
        <v>0</v>
      </c>
      <c r="G154" s="143">
        <f>HLOOKUP("start",ESLData!H$1:H$9960,MATCH($A154,ESLData!$B$1:$B$9960,0))</f>
        <v>0</v>
      </c>
      <c r="J154" s="156" t="s">
        <v>987</v>
      </c>
      <c r="K154" s="142" t="str">
        <f>IF(ISNA(HLOOKUP("start",ESLData!C$1:C$9960,MATCH($A154,ESLData!$B$1:$B$9960,0))),"",HLOOKUP("start",ESLData!C$1:C$9960,MATCH($A154,ESLData!$B$1:$B$9960,0)))</f>
        <v>Client Travel</v>
      </c>
    </row>
    <row r="155" spans="1:13" ht="14.25" customHeight="1" x14ac:dyDescent="0.2">
      <c r="A155" s="144">
        <v>32010</v>
      </c>
      <c r="C155" s="143">
        <f>HLOOKUP("start",ESLData!E$1:E$9960,MATCH($A155,ESLData!$B$1:$B$9960,0))</f>
        <v>0</v>
      </c>
      <c r="E155" s="143">
        <f>HLOOKUP("start",ESLData!F$1:F$9960,MATCH($A155,ESLData!$B$1:$B$9960,0))</f>
        <v>0</v>
      </c>
      <c r="G155" s="143">
        <f>HLOOKUP("start",ESLData!H$1:H$9960,MATCH($A155,ESLData!$B$1:$B$9960,0))</f>
        <v>126.09</v>
      </c>
      <c r="J155" s="156" t="s">
        <v>987</v>
      </c>
      <c r="K155" s="142" t="str">
        <f>IF(ISNA(HLOOKUP("start",ESLData!C$1:C$9960,MATCH($A155,ESLData!$B$1:$B$9960,0))),"",HLOOKUP("start",ESLData!C$1:C$9960,MATCH($A155,ESLData!$B$1:$B$9960,0)))</f>
        <v>Repairs &amp; Maintenance</v>
      </c>
    </row>
    <row r="156" spans="1:13" ht="14.25" customHeight="1" x14ac:dyDescent="0.2">
      <c r="A156" s="144">
        <v>32020</v>
      </c>
      <c r="C156" s="143">
        <f>HLOOKUP("start",ESLData!E$1:E$9960,MATCH($A156,ESLData!$B$1:$B$9960,0))</f>
        <v>0</v>
      </c>
      <c r="E156" s="143">
        <f>HLOOKUP("start",ESLData!F$1:F$9960,MATCH($A156,ESLData!$B$1:$B$9960,0))</f>
        <v>0</v>
      </c>
      <c r="G156" s="143">
        <f>HLOOKUP("start",ESLData!H$1:H$9960,MATCH($A156,ESLData!$B$1:$B$9960,0))</f>
        <v>0</v>
      </c>
      <c r="J156" s="156" t="s">
        <v>987</v>
      </c>
      <c r="K156" s="142" t="str">
        <f>IF(ISNA(HLOOKUP("start",ESLData!C$1:C$9960,MATCH($A156,ESLData!$B$1:$B$9960,0))),"",HLOOKUP("start",ESLData!C$1:C$9960,MATCH($A156,ESLData!$B$1:$B$9960,0)))</f>
        <v>Consumables</v>
      </c>
    </row>
    <row r="157" spans="1:13" ht="14.25" customHeight="1" x14ac:dyDescent="0.2">
      <c r="A157" s="144">
        <v>32030</v>
      </c>
      <c r="C157" s="143">
        <f>HLOOKUP("start",ESLData!E$1:E$9960,MATCH($A157,ESLData!$B$1:$B$9960,0))</f>
        <v>0</v>
      </c>
      <c r="E157" s="143">
        <f>HLOOKUP("start",ESLData!F$1:F$9960,MATCH($A157,ESLData!$B$1:$B$9960,0))</f>
        <v>0</v>
      </c>
      <c r="G157" s="143">
        <f>HLOOKUP("start",ESLData!H$1:H$9960,MATCH($A157,ESLData!$B$1:$B$9960,0))</f>
        <v>0</v>
      </c>
      <c r="J157" s="156" t="s">
        <v>987</v>
      </c>
      <c r="K157" s="142" t="str">
        <f>IF(ISNA(HLOOKUP("start",ESLData!C$1:C$9960,MATCH($A157,ESLData!$B$1:$B$9960,0))),"",HLOOKUP("start",ESLData!C$1:C$9960,MATCH($A157,ESLData!$B$1:$B$9960,0)))</f>
        <v>Food</v>
      </c>
    </row>
    <row r="158" spans="1:13" ht="14.25" customHeight="1" x14ac:dyDescent="0.2">
      <c r="A158" s="144">
        <v>32040</v>
      </c>
      <c r="C158" s="143">
        <f>HLOOKUP("start",ESLData!E$1:E$9960,MATCH($A158,ESLData!$B$1:$B$9960,0))</f>
        <v>0</v>
      </c>
      <c r="E158" s="143">
        <f>HLOOKUP("start",ESLData!F$1:F$9960,MATCH($A158,ESLData!$B$1:$B$9960,0))</f>
        <v>0</v>
      </c>
      <c r="G158" s="143">
        <f>HLOOKUP("start",ESLData!H$1:H$9960,MATCH($A158,ESLData!$B$1:$B$9960,0))</f>
        <v>0</v>
      </c>
      <c r="J158" s="156" t="s">
        <v>987</v>
      </c>
      <c r="K158" s="142" t="str">
        <f>IF(ISNA(HLOOKUP("start",ESLData!C$1:C$9960,MATCH($A158,ESLData!$B$1:$B$9960,0))),"",HLOOKUP("start",ESLData!C$1:C$9960,MATCH($A158,ESLData!$B$1:$B$9960,0)))</f>
        <v>Salaries - Kickstart</v>
      </c>
    </row>
    <row r="159" spans="1:13" ht="14.25" customHeight="1" x14ac:dyDescent="0.2">
      <c r="A159" s="144">
        <v>32050</v>
      </c>
      <c r="C159" s="143">
        <f>HLOOKUP("start",ESLData!E$1:E$9960,MATCH($A159,ESLData!$B$1:$B$9960,0))</f>
        <v>0</v>
      </c>
      <c r="E159" s="143">
        <f>HLOOKUP("start",ESLData!F$1:F$9960,MATCH($A159,ESLData!$B$1:$B$9960,0))</f>
        <v>0</v>
      </c>
      <c r="G159" s="143">
        <f>HLOOKUP("start",ESLData!H$1:H$9960,MATCH($A159,ESLData!$B$1:$B$9960,0))</f>
        <v>0</v>
      </c>
      <c r="J159" s="156" t="s">
        <v>987</v>
      </c>
      <c r="K159" s="142" t="str">
        <f>IF(ISNA(HLOOKUP("start",ESLData!C$1:C$9960,MATCH($A159,ESLData!$B$1:$B$9960,0))),"",HLOOKUP("start",ESLData!C$1:C$9960,MATCH($A159,ESLData!$B$1:$B$9960,0)))</f>
        <v>Student Travel - Air</v>
      </c>
    </row>
    <row r="160" spans="1:13" ht="14.25" customHeight="1" x14ac:dyDescent="0.2">
      <c r="A160" s="144">
        <v>32060</v>
      </c>
      <c r="C160" s="143">
        <f>HLOOKUP("start",ESLData!E$1:E$9960,MATCH($A160,ESLData!$B$1:$B$9960,0))</f>
        <v>0</v>
      </c>
      <c r="E160" s="143">
        <f>HLOOKUP("start",ESLData!F$1:F$9960,MATCH($A160,ESLData!$B$1:$B$9960,0))</f>
        <v>0</v>
      </c>
      <c r="G160" s="143">
        <f>HLOOKUP("start",ESLData!H$1:H$9960,MATCH($A160,ESLData!$B$1:$B$9960,0))</f>
        <v>0</v>
      </c>
      <c r="J160" s="156" t="s">
        <v>987</v>
      </c>
      <c r="K160" s="142" t="str">
        <f>IF(ISNA(HLOOKUP("start",ESLData!C$1:C$9960,MATCH($A160,ESLData!$B$1:$B$9960,0))),"",HLOOKUP("start",ESLData!C$1:C$9960,MATCH($A160,ESLData!$B$1:$B$9960,0)))</f>
        <v>Student Travel - Taxis</v>
      </c>
    </row>
    <row r="161" spans="1:11" ht="14.25" customHeight="1" x14ac:dyDescent="0.2">
      <c r="A161" s="144">
        <v>32070</v>
      </c>
      <c r="C161" s="143">
        <f>HLOOKUP("start",ESLData!E$1:E$9960,MATCH($A161,ESLData!$B$1:$B$9960,0))</f>
        <v>0</v>
      </c>
      <c r="E161" s="143">
        <f>HLOOKUP("start",ESLData!F$1:F$9960,MATCH($A161,ESLData!$B$1:$B$9960,0))</f>
        <v>0</v>
      </c>
      <c r="G161" s="143">
        <f>HLOOKUP("start",ESLData!H$1:H$9960,MATCH($A161,ESLData!$B$1:$B$9960,0))</f>
        <v>0</v>
      </c>
      <c r="J161" s="156" t="s">
        <v>987</v>
      </c>
      <c r="K161" s="142" t="str">
        <f>IF(ISNA(HLOOKUP("start",ESLData!C$1:C$9960,MATCH($A161,ESLData!$B$1:$B$9960,0))),"",HLOOKUP("start",ESLData!C$1:C$9960,MATCH($A161,ESLData!$B$1:$B$9960,0)))</f>
        <v>Programme Costs</v>
      </c>
    </row>
    <row r="162" spans="1:11" ht="14.25" customHeight="1" x14ac:dyDescent="0.2">
      <c r="A162" s="144">
        <v>32080</v>
      </c>
      <c r="C162" s="143">
        <f>HLOOKUP("start",ESLData!E$1:E$9960,MATCH($A162,ESLData!$B$1:$B$9960,0))</f>
        <v>0</v>
      </c>
      <c r="E162" s="143">
        <f>HLOOKUP("start",ESLData!F$1:F$9960,MATCH($A162,ESLData!$B$1:$B$9960,0))</f>
        <v>0</v>
      </c>
      <c r="G162" s="143">
        <f>HLOOKUP("start",ESLData!H$1:H$9960,MATCH($A162,ESLData!$B$1:$B$9960,0))</f>
        <v>0</v>
      </c>
      <c r="J162" s="156" t="s">
        <v>987</v>
      </c>
      <c r="K162" s="142" t="str">
        <f>IF(ISNA(HLOOKUP("start",ESLData!C$1:C$9960,MATCH($A162,ESLData!$B$1:$B$9960,0))),"",HLOOKUP("start",ESLData!C$1:C$9960,MATCH($A162,ESLData!$B$1:$B$9960,0)))</f>
        <v>Consumables</v>
      </c>
    </row>
    <row r="163" spans="1:11" ht="14.25" customHeight="1" x14ac:dyDescent="0.2">
      <c r="A163" s="144">
        <v>32090</v>
      </c>
      <c r="C163" s="143">
        <f>HLOOKUP("start",ESLData!E$1:E$9960,MATCH($A163,ESLData!$B$1:$B$9960,0))</f>
        <v>0</v>
      </c>
      <c r="E163" s="143">
        <f>HLOOKUP("start",ESLData!F$1:F$9960,MATCH($A163,ESLData!$B$1:$B$9960,0))</f>
        <v>0</v>
      </c>
      <c r="G163" s="143">
        <f>HLOOKUP("start",ESLData!H$1:H$9960,MATCH($A163,ESLData!$B$1:$B$9960,0))</f>
        <v>0</v>
      </c>
      <c r="J163" s="156" t="s">
        <v>987</v>
      </c>
      <c r="K163" s="142" t="str">
        <f>IF(ISNA(HLOOKUP("start",ESLData!C$1:C$9960,MATCH($A163,ESLData!$B$1:$B$9960,0))),"",HLOOKUP("start",ESLData!C$1:C$9960,MATCH($A163,ESLData!$B$1:$B$9960,0)))</f>
        <v>Recreational Outings</v>
      </c>
    </row>
    <row r="164" spans="1:11" ht="14.25" customHeight="1" x14ac:dyDescent="0.2">
      <c r="A164" s="144">
        <v>32100</v>
      </c>
      <c r="C164" s="143">
        <f>HLOOKUP("start",ESLData!E$1:E$9960,MATCH($A164,ESLData!$B$1:$B$9960,0))</f>
        <v>0</v>
      </c>
      <c r="D164" s="148"/>
      <c r="E164" s="143">
        <f>HLOOKUP("start",ESLData!F$1:F$9960,MATCH($A164,ESLData!$B$1:$B$9960,0))</f>
        <v>0</v>
      </c>
      <c r="F164" s="148"/>
      <c r="G164" s="143">
        <f>HLOOKUP("start",ESLData!H$1:H$9960,MATCH($A164,ESLData!$B$1:$B$9960,0))</f>
        <v>0</v>
      </c>
      <c r="H164" s="148"/>
      <c r="J164" s="156" t="s">
        <v>987</v>
      </c>
      <c r="K164" s="142" t="str">
        <f>IF(ISNA(HLOOKUP("start",ESLData!C$1:C$9960,MATCH($A164,ESLData!$B$1:$B$9960,0))),"",HLOOKUP("start",ESLData!C$1:C$9960,MATCH($A164,ESLData!$B$1:$B$9960,0)))</f>
        <v>Food</v>
      </c>
    </row>
    <row r="165" spans="1:11" ht="14.25" customHeight="1" x14ac:dyDescent="0.2">
      <c r="A165" s="144">
        <v>30522</v>
      </c>
      <c r="C165" s="143">
        <f>HLOOKUP("start",ESLData!E$1:E$9960,MATCH($A165,ESLData!$B$1:$B$9960,0))</f>
        <v>0</v>
      </c>
      <c r="E165" s="143">
        <f>HLOOKUP("start",ESLData!F$1:F$9960,MATCH($A165,ESLData!$B$1:$B$9960,0))</f>
        <v>0</v>
      </c>
      <c r="G165" s="143">
        <f>HLOOKUP("start",ESLData!H$1:H$9960,MATCH($A165,ESLData!$B$1:$B$9960,0))</f>
        <v>0</v>
      </c>
      <c r="J165" s="156" t="s">
        <v>987</v>
      </c>
      <c r="K165" s="142" t="str">
        <f>IF(ISNA(HLOOKUP("start",ESLData!C$1:C$9960,MATCH($A165,ESLData!$B$1:$B$9960,0))),"",HLOOKUP("start",ESLData!C$1:C$9960,MATCH($A165,ESLData!$B$1:$B$9960,0)))</f>
        <v>Expanded Core Curriculum</v>
      </c>
    </row>
    <row r="166" spans="1:11" ht="14.25" customHeight="1" x14ac:dyDescent="0.2">
      <c r="A166" s="144">
        <v>30530</v>
      </c>
      <c r="C166" s="143">
        <f>HLOOKUP("start",ESLData!E$1:E$9960,MATCH($A166,ESLData!$B$1:$B$9960,0))</f>
        <v>0</v>
      </c>
      <c r="E166" s="143">
        <f>HLOOKUP("start",ESLData!F$1:F$9960,MATCH($A166,ESLData!$B$1:$B$9960,0))</f>
        <v>0</v>
      </c>
      <c r="G166" s="143">
        <f>HLOOKUP("start",ESLData!H$1:H$9960,MATCH($A166,ESLData!$B$1:$B$9960,0))</f>
        <v>0</v>
      </c>
      <c r="J166" s="156" t="s">
        <v>987</v>
      </c>
      <c r="K166" s="142" t="str">
        <f>IF(ISNA(HLOOKUP("start",ESLData!C$1:C$9960,MATCH($A166,ESLData!$B$1:$B$9960,0))),"",HLOOKUP("start",ESLData!C$1:C$9960,MATCH($A166,ESLData!$B$1:$B$9960,0)))</f>
        <v>Esol</v>
      </c>
    </row>
    <row r="167" spans="1:11" ht="14.25" customHeight="1" x14ac:dyDescent="0.2">
      <c r="A167" s="144">
        <v>30531</v>
      </c>
      <c r="C167" s="143">
        <f>HLOOKUP("start",ESLData!E$1:E$9960,MATCH($A167,ESLData!$B$1:$B$9960,0))</f>
        <v>0</v>
      </c>
      <c r="E167" s="143">
        <f>HLOOKUP("start",ESLData!F$1:F$9960,MATCH($A167,ESLData!$B$1:$B$9960,0))</f>
        <v>0</v>
      </c>
      <c r="G167" s="143">
        <f>HLOOKUP("start",ESLData!H$1:H$9960,MATCH($A167,ESLData!$B$1:$B$9960,0))</f>
        <v>0</v>
      </c>
      <c r="J167" s="156"/>
      <c r="K167" s="142" t="str">
        <f>IF(ISNA(HLOOKUP("start",ESLData!C$1:C$9960,MATCH($A167,ESLData!$B$1:$B$9960,0))),"",HLOOKUP("start",ESLData!C$1:C$9960,MATCH($A167,ESLData!$B$1:$B$9960,0)))</f>
        <v>English</v>
      </c>
    </row>
    <row r="168" spans="1:11" ht="14.25" customHeight="1" x14ac:dyDescent="0.2">
      <c r="A168" s="144">
        <v>30532</v>
      </c>
      <c r="C168" s="143">
        <f>HLOOKUP("start",ESLData!E$1:E$9960,MATCH($A168,ESLData!$B$1:$B$9960,0))</f>
        <v>0</v>
      </c>
      <c r="E168" s="143">
        <f>HLOOKUP("start",ESLData!F$1:F$9960,MATCH($A168,ESLData!$B$1:$B$9960,0))</f>
        <v>0</v>
      </c>
      <c r="G168" s="143">
        <f>HLOOKUP("start",ESLData!H$1:H$9960,MATCH($A168,ESLData!$B$1:$B$9960,0))</f>
        <v>0</v>
      </c>
      <c r="J168" s="156"/>
      <c r="K168" s="142" t="str">
        <f>IF(ISNA(HLOOKUP("start",ESLData!C$1:C$9960,MATCH($A168,ESLData!$B$1:$B$9960,0))),"",HLOOKUP("start",ESLData!C$1:C$9960,MATCH($A168,ESLData!$B$1:$B$9960,0)))</f>
        <v>The Arts</v>
      </c>
    </row>
    <row r="169" spans="1:11" ht="14.25" customHeight="1" x14ac:dyDescent="0.2">
      <c r="A169" s="144">
        <v>30533</v>
      </c>
      <c r="C169" s="143">
        <f>HLOOKUP("start",ESLData!E$1:E$9960,MATCH($A169,ESLData!$B$1:$B$9960,0))</f>
        <v>0</v>
      </c>
      <c r="E169" s="143">
        <f>HLOOKUP("start",ESLData!F$1:F$9960,MATCH($A169,ESLData!$B$1:$B$9960,0))</f>
        <v>0</v>
      </c>
      <c r="G169" s="143">
        <f>HLOOKUP("start",ESLData!H$1:H$9960,MATCH($A169,ESLData!$B$1:$B$9960,0))</f>
        <v>0</v>
      </c>
      <c r="J169" s="156"/>
      <c r="K169" s="142" t="str">
        <f>IF(ISNA(HLOOKUP("start",ESLData!C$1:C$9960,MATCH($A169,ESLData!$B$1:$B$9960,0))),"",HLOOKUP("start",ESLData!C$1:C$9960,MATCH($A169,ESLData!$B$1:$B$9960,0)))</f>
        <v>Health and Physical Education</v>
      </c>
    </row>
    <row r="170" spans="1:11" ht="14.25" customHeight="1" x14ac:dyDescent="0.2">
      <c r="A170" s="144">
        <v>30534</v>
      </c>
      <c r="C170" s="143">
        <f>HLOOKUP("start",ESLData!E$1:E$9960,MATCH($A170,ESLData!$B$1:$B$9960,0))</f>
        <v>0</v>
      </c>
      <c r="E170" s="143">
        <f>HLOOKUP("start",ESLData!F$1:F$9960,MATCH($A170,ESLData!$B$1:$B$9960,0))</f>
        <v>0</v>
      </c>
      <c r="G170" s="143">
        <f>HLOOKUP("start",ESLData!H$1:H$9960,MATCH($A170,ESLData!$B$1:$B$9960,0))</f>
        <v>0</v>
      </c>
      <c r="J170" s="156"/>
      <c r="K170" s="142" t="str">
        <f>IF(ISNA(HLOOKUP("start",ESLData!C$1:C$9960,MATCH($A170,ESLData!$B$1:$B$9960,0))),"",HLOOKUP("start",ESLData!C$1:C$9960,MATCH($A170,ESLData!$B$1:$B$9960,0)))</f>
        <v>Learning Languages</v>
      </c>
    </row>
    <row r="171" spans="1:11" ht="14.25" customHeight="1" x14ac:dyDescent="0.2">
      <c r="A171" s="144">
        <v>30535</v>
      </c>
      <c r="C171" s="143">
        <f>HLOOKUP("start",ESLData!E$1:E$9960,MATCH($A171,ESLData!$B$1:$B$9960,0))</f>
        <v>0</v>
      </c>
      <c r="E171" s="143">
        <f>HLOOKUP("start",ESLData!F$1:F$9960,MATCH($A171,ESLData!$B$1:$B$9960,0))</f>
        <v>0</v>
      </c>
      <c r="G171" s="143">
        <f>HLOOKUP("start",ESLData!H$1:H$9960,MATCH($A171,ESLData!$B$1:$B$9960,0))</f>
        <v>0</v>
      </c>
      <c r="J171" s="156"/>
      <c r="K171" s="142" t="str">
        <f>IF(ISNA(HLOOKUP("start",ESLData!C$1:C$9960,MATCH($A171,ESLData!$B$1:$B$9960,0))),"",HLOOKUP("start",ESLData!C$1:C$9960,MATCH($A171,ESLData!$B$1:$B$9960,0)))</f>
        <v>Mathematics and Statistics</v>
      </c>
    </row>
    <row r="172" spans="1:11" ht="14.25" customHeight="1" x14ac:dyDescent="0.2">
      <c r="A172" s="144">
        <v>30536</v>
      </c>
      <c r="C172" s="143">
        <f>HLOOKUP("start",ESLData!E$1:E$9960,MATCH($A172,ESLData!$B$1:$B$9960,0))</f>
        <v>0</v>
      </c>
      <c r="E172" s="143">
        <f>HLOOKUP("start",ESLData!F$1:F$9960,MATCH($A172,ESLData!$B$1:$B$9960,0))</f>
        <v>0</v>
      </c>
      <c r="G172" s="143">
        <f>HLOOKUP("start",ESLData!H$1:H$9960,MATCH($A172,ESLData!$B$1:$B$9960,0))</f>
        <v>0</v>
      </c>
      <c r="J172" s="156"/>
      <c r="K172" s="142" t="str">
        <f>IF(ISNA(HLOOKUP("start",ESLData!C$1:C$9960,MATCH($A172,ESLData!$B$1:$B$9960,0))),"",HLOOKUP("start",ESLData!C$1:C$9960,MATCH($A172,ESLData!$B$1:$B$9960,0)))</f>
        <v>Science</v>
      </c>
    </row>
    <row r="173" spans="1:11" ht="14.25" customHeight="1" x14ac:dyDescent="0.2">
      <c r="A173" s="144">
        <v>30537</v>
      </c>
      <c r="C173" s="143">
        <f>HLOOKUP("start",ESLData!E$1:E$9960,MATCH($A173,ESLData!$B$1:$B$9960,0))</f>
        <v>65.38</v>
      </c>
      <c r="E173" s="143">
        <f>HLOOKUP("start",ESLData!F$1:F$9960,MATCH($A173,ESLData!$B$1:$B$9960,0))</f>
        <v>0</v>
      </c>
      <c r="G173" s="143">
        <f>HLOOKUP("start",ESLData!H$1:H$9960,MATCH($A173,ESLData!$B$1:$B$9960,0))</f>
        <v>0</v>
      </c>
      <c r="J173" s="156"/>
      <c r="K173" s="142" t="str">
        <f>IF(ISNA(HLOOKUP("start",ESLData!C$1:C$9960,MATCH($A173,ESLData!$B$1:$B$9960,0))),"",HLOOKUP("start",ESLData!C$1:C$9960,MATCH($A173,ESLData!$B$1:$B$9960,0)))</f>
        <v>Social Sciences</v>
      </c>
    </row>
    <row r="174" spans="1:11" ht="14.25" customHeight="1" x14ac:dyDescent="0.2">
      <c r="A174" s="144">
        <v>30538</v>
      </c>
      <c r="C174" s="143">
        <f>HLOOKUP("start",ESLData!E$1:E$9960,MATCH($A174,ESLData!$B$1:$B$9960,0))</f>
        <v>2272.15</v>
      </c>
      <c r="E174" s="143">
        <f>HLOOKUP("start",ESLData!F$1:F$9960,MATCH($A174,ESLData!$B$1:$B$9960,0))</f>
        <v>6000</v>
      </c>
      <c r="G174" s="143">
        <f>HLOOKUP("start",ESLData!H$1:H$9960,MATCH($A174,ESLData!$B$1:$B$9960,0))</f>
        <v>849.67</v>
      </c>
      <c r="J174" s="156"/>
      <c r="K174" s="142" t="str">
        <f>IF(ISNA(HLOOKUP("start",ESLData!C$1:C$9960,MATCH($A174,ESLData!$B$1:$B$9960,0))),"",HLOOKUP("start",ESLData!C$1:C$9960,MATCH($A174,ESLData!$B$1:$B$9960,0)))</f>
        <v>Classroom Consumables</v>
      </c>
    </row>
    <row r="175" spans="1:11" ht="14.25" customHeight="1" x14ac:dyDescent="0.2">
      <c r="A175" s="144">
        <v>30520</v>
      </c>
      <c r="C175" s="143">
        <f>HLOOKUP("start",ESLData!E$1:E$9960,MATCH($A175,ESLData!$B$1:$B$9960,0))</f>
        <v>0</v>
      </c>
      <c r="E175" s="143">
        <f>HLOOKUP("start",ESLData!F$1:F$9960,MATCH($A175,ESLData!$B$1:$B$9960,0))</f>
        <v>0</v>
      </c>
      <c r="G175" s="143">
        <f>HLOOKUP("start",ESLData!H$1:H$9960,MATCH($A175,ESLData!$B$1:$B$9960,0))</f>
        <v>687.15</v>
      </c>
      <c r="J175" s="156" t="s">
        <v>987</v>
      </c>
      <c r="K175" s="142" t="str">
        <f>IF(ISNA(HLOOKUP("start",ESLData!C$1:C$9960,MATCH($A175,ESLData!$B$1:$B$9960,0))),"",HLOOKUP("start",ESLData!C$1:C$9960,MATCH($A175,ESLData!$B$1:$B$9960,0)))</f>
        <v>Classrooms</v>
      </c>
    </row>
    <row r="176" spans="1:11" ht="14.25" customHeight="1" x14ac:dyDescent="0.2">
      <c r="A176" s="144">
        <v>31110</v>
      </c>
      <c r="C176" s="143">
        <f>HLOOKUP("start",ESLData!E$1:E$9960,MATCH($A176,ESLData!$B$1:$B$9960,0))</f>
        <v>6610.93</v>
      </c>
      <c r="E176" s="143">
        <f>HLOOKUP("start",ESLData!F$1:F$9960,MATCH($A176,ESLData!$B$1:$B$9960,0))</f>
        <v>7000</v>
      </c>
      <c r="G176" s="143">
        <f>HLOOKUP("start",ESLData!H$1:H$9960,MATCH($A176,ESLData!$B$1:$B$9960,0))</f>
        <v>6327.49</v>
      </c>
      <c r="J176" s="156"/>
      <c r="K176" s="142" t="str">
        <f>IF(ISNA(HLOOKUP("start",ESLData!C$1:C$9960,MATCH($A176,ESLData!$B$1:$B$9960,0))),"",HLOOKUP("start",ESLData!C$1:C$9960,MATCH($A176,ESLData!$B$1:$B$9960,0)))</f>
        <v>Tamaoho (Pukekohe) Use of Facilities</v>
      </c>
    </row>
    <row r="177" spans="1:12" ht="14.25" customHeight="1" x14ac:dyDescent="0.2">
      <c r="A177" s="144">
        <v>31111</v>
      </c>
      <c r="C177" s="143">
        <f>HLOOKUP("start",ESLData!E$1:E$9960,MATCH($A177,ESLData!$B$1:$B$9960,0))</f>
        <v>858.07</v>
      </c>
      <c r="E177" s="143">
        <f>HLOOKUP("start",ESLData!F$1:F$9960,MATCH($A177,ESLData!$B$1:$B$9960,0))</f>
        <v>0</v>
      </c>
      <c r="G177" s="143">
        <f>HLOOKUP("start",ESLData!H$1:H$9960,MATCH($A177,ESLData!$B$1:$B$9960,0))</f>
        <v>312.35000000000002</v>
      </c>
      <c r="J177" s="156"/>
      <c r="K177" s="142" t="str">
        <f>IF(ISNA(HLOOKUP("start",ESLData!C$1:C$9960,MATCH($A177,ESLData!$B$1:$B$9960,0))),"",HLOOKUP("start",ESLData!C$1:C$9960,MATCH($A177,ESLData!$B$1:$B$9960,0)))</f>
        <v>Tamaoho (Pukekohe)Classroom Consumables</v>
      </c>
    </row>
    <row r="178" spans="1:12" ht="14.25" customHeight="1" x14ac:dyDescent="0.2">
      <c r="A178" s="144">
        <v>31210</v>
      </c>
      <c r="C178" s="143">
        <f>HLOOKUP("start",ESLData!E$1:E$9960,MATCH($A178,ESLData!$B$1:$B$9960,0))</f>
        <v>4484.5200000000004</v>
      </c>
      <c r="E178" s="143">
        <f>HLOOKUP("start",ESLData!F$1:F$9960,MATCH($A178,ESLData!$B$1:$B$9960,0))</f>
        <v>7000</v>
      </c>
      <c r="G178" s="143">
        <f>HLOOKUP("start",ESLData!H$1:H$9960,MATCH($A178,ESLData!$B$1:$B$9960,0))</f>
        <v>1760.5</v>
      </c>
      <c r="J178" s="156"/>
      <c r="K178" s="142" t="str">
        <f>IF(ISNA(HLOOKUP("start",ESLData!C$1:C$9960,MATCH($A178,ESLData!$B$1:$B$9960,0))),"",HLOOKUP("start",ESLData!C$1:C$9960,MATCH($A178,ESLData!$B$1:$B$9960,0)))</f>
        <v>Scott Point Use of Facilities</v>
      </c>
    </row>
    <row r="179" spans="1:12" ht="14.25" customHeight="1" x14ac:dyDescent="0.2">
      <c r="A179" s="144">
        <v>41016</v>
      </c>
      <c r="C179" s="143">
        <f>HLOOKUP("start",ESLData!E$1:E$9960,MATCH($A179,ESLData!$B$1:$B$9960,0))</f>
        <v>210000</v>
      </c>
      <c r="E179" s="143">
        <f>HLOOKUP("start",ESLData!F$1:F$9960,MATCH($A179,ESLData!$B$1:$B$9960,0))</f>
        <v>210000</v>
      </c>
      <c r="G179" s="143">
        <f>HLOOKUP("start",ESLData!H$1:H$9960,MATCH($A179,ESLData!$B$1:$B$9960,0))</f>
        <v>0</v>
      </c>
      <c r="J179" s="156"/>
      <c r="K179" s="142" t="str">
        <f>IF(ISNA(HLOOKUP("start",ESLData!C$1:C$9960,MATCH($A179,ESLData!$B$1:$B$9960,0))),"",HLOOKUP("start",ESLData!C$1:C$9960,MATCH($A179,ESLData!$B$1:$B$9960,0)))</f>
        <v>AFM Sub Contract</v>
      </c>
    </row>
    <row r="180" spans="1:12" ht="14.25" customHeight="1" x14ac:dyDescent="0.2">
      <c r="A180" s="144">
        <v>31211</v>
      </c>
      <c r="C180" s="143">
        <f>HLOOKUP("start",ESLData!E$1:E$9960,MATCH($A180,ESLData!$B$1:$B$9960,0))</f>
        <v>539.04999999999995</v>
      </c>
      <c r="E180" s="143">
        <f>HLOOKUP("start",ESLData!F$1:F$9960,MATCH($A180,ESLData!$B$1:$B$9960,0))</f>
        <v>0</v>
      </c>
      <c r="G180" s="143">
        <f>HLOOKUP("start",ESLData!H$1:H$9960,MATCH($A180,ESLData!$B$1:$B$9960,0))</f>
        <v>3001.49</v>
      </c>
      <c r="J180" s="156"/>
      <c r="K180" s="142" t="str">
        <f>IF(ISNA(HLOOKUP("start",ESLData!C$1:C$9960,MATCH($A180,ESLData!$B$1:$B$9960,0))),"",HLOOKUP("start",ESLData!C$1:C$9960,MATCH($A180,ESLData!$B$1:$B$9960,0)))</f>
        <v>Scott Point Classroom Consumables</v>
      </c>
    </row>
    <row r="181" spans="1:12" ht="14.25" customHeight="1" x14ac:dyDescent="0.2">
      <c r="A181" s="144">
        <v>31050</v>
      </c>
      <c r="C181" s="143">
        <f>HLOOKUP("start",ESLData!E$1:E$9960,MATCH($A181,ESLData!$B$1:$B$9960,0))</f>
        <v>0</v>
      </c>
      <c r="D181" s="162">
        <f>ROUND(SUM(C137:C181),0)</f>
        <v>282583</v>
      </c>
      <c r="E181" s="143">
        <f>HLOOKUP("start",ESLData!F$1:F$9960,MATCH($A181,ESLData!$B$1:$B$9960,0))</f>
        <v>0</v>
      </c>
      <c r="F181" s="155">
        <f>ROUND(SUM(E137:E181),0)</f>
        <v>286180</v>
      </c>
      <c r="G181" s="143">
        <f>HLOOKUP("start",ESLData!H$1:H$9960,MATCH($A181,ESLData!$B$1:$B$9960,0))</f>
        <v>0</v>
      </c>
      <c r="H181" s="162">
        <f>ROUND(SUM(G137:G181),0)</f>
        <v>47921</v>
      </c>
      <c r="J181" s="156" t="s">
        <v>987</v>
      </c>
      <c r="K181" s="142" t="str">
        <f>IF(ISNA(HLOOKUP("start",ESLData!C$1:C$9960,MATCH($A181,ESLData!$B$1:$B$9960,0))),"",HLOOKUP("start",ESLData!C$1:C$9960,MATCH($A181,ESLData!$B$1:$B$9960,0)))</f>
        <v>JCHS Telephone/Tolls/Faxes</v>
      </c>
    </row>
    <row r="182" spans="1:12" ht="14.25" customHeight="1" x14ac:dyDescent="0.2">
      <c r="A182" s="147" t="s">
        <v>978</v>
      </c>
      <c r="C182" s="143"/>
      <c r="E182" s="143"/>
      <c r="G182" s="143"/>
      <c r="J182" s="156" t="s">
        <v>987</v>
      </c>
      <c r="K182" s="142" t="str">
        <f>IF(ISNA(HLOOKUP("start",ESLData!C$1:C$9960,MATCH($A182,ESLData!$B$1:$B$9960,0))),"",HLOOKUP("start",ESLData!C$1:C$9960,MATCH($A182,ESLData!$B$1:$B$9960,0)))</f>
        <v/>
      </c>
    </row>
    <row r="183" spans="1:12" ht="14.25" customHeight="1" x14ac:dyDescent="0.2">
      <c r="A183" s="145"/>
      <c r="C183" s="143"/>
      <c r="E183" s="143"/>
      <c r="G183" s="143"/>
      <c r="J183" s="156" t="s">
        <v>987</v>
      </c>
      <c r="K183" s="142" t="str">
        <f>IF(ISNA(HLOOKUP("start",ESLData!C$1:C$9960,MATCH($A183,ESLData!$B$1:$B$9960,0))),"",HLOOKUP("start",ESLData!C$1:C$9960,MATCH($A183,ESLData!$B$1:$B$9960,0)))</f>
        <v/>
      </c>
    </row>
    <row r="184" spans="1:12" ht="14.25" customHeight="1" x14ac:dyDescent="0.2">
      <c r="A184" s="144">
        <v>30100</v>
      </c>
      <c r="C184" s="143">
        <f>HLOOKUP("start",ESLData!E$1:E$9960,MATCH($A184,ESLData!$B$1:$B$9960,0))</f>
        <v>6566.57</v>
      </c>
      <c r="D184" s="162">
        <f>ROUND(SUM(C183:C184),0)</f>
        <v>6567</v>
      </c>
      <c r="E184" s="143">
        <f>HLOOKUP("start",ESLData!F$1:F$9960,MATCH($A184,ESLData!$B$1:$B$9960,0))</f>
        <v>8000</v>
      </c>
      <c r="F184" s="155">
        <f>ROUND(SUM(E183:E184),0)</f>
        <v>8000</v>
      </c>
      <c r="G184" s="143">
        <f>HLOOKUP("start",ESLData!H$1:H$9960,MATCH($A184,ESLData!$B$1:$B$9960,0))</f>
        <v>4625.7</v>
      </c>
      <c r="H184" s="167">
        <f>ROUND(SUM(G183:G184),0)</f>
        <v>4626</v>
      </c>
      <c r="J184" s="156" t="s">
        <v>987</v>
      </c>
      <c r="K184" s="142" t="str">
        <f>IF(ISNA(HLOOKUP("start",ESLData!C$1:C$9960,MATCH($A184,ESLData!$B$1:$B$9960,0))),"",HLOOKUP("start",ESLData!C$1:C$9960,MATCH($A184,ESLData!$B$1:$B$9960,0)))</f>
        <v>R&amp;M - Classroom Equipment</v>
      </c>
      <c r="L184" s="146" t="s">
        <v>781</v>
      </c>
    </row>
    <row r="185" spans="1:12" ht="14.25" customHeight="1" x14ac:dyDescent="0.2">
      <c r="A185" s="147" t="s">
        <v>418</v>
      </c>
      <c r="C185" s="143"/>
      <c r="E185" s="143"/>
      <c r="G185" s="143"/>
      <c r="J185" s="156" t="s">
        <v>987</v>
      </c>
      <c r="K185" s="142" t="str">
        <f>IF(ISNA(HLOOKUP("start",ESLData!C$1:C$9960,MATCH($A185,ESLData!$B$1:$B$9960,0))),"",HLOOKUP("start",ESLData!C$1:C$9960,MATCH($A185,ESLData!$B$1:$B$9960,0)))</f>
        <v/>
      </c>
    </row>
    <row r="186" spans="1:12" ht="14.25" customHeight="1" x14ac:dyDescent="0.2">
      <c r="A186" s="144">
        <v>30330</v>
      </c>
      <c r="C186" s="143">
        <f>HLOOKUP("start",ESLData!E$1:E$9960,MATCH($A186,ESLData!$B$1:$B$9960,0))</f>
        <v>37905.040000000001</v>
      </c>
      <c r="E186" s="143">
        <f>HLOOKUP("start",ESLData!F$1:F$9960,MATCH($A186,ESLData!$B$1:$B$9960,0))</f>
        <v>37550</v>
      </c>
      <c r="G186" s="143">
        <f>HLOOKUP("start",ESLData!H$1:H$9960,MATCH($A186,ESLData!$B$1:$B$9960,0))</f>
        <v>45090.78</v>
      </c>
      <c r="J186" s="156" t="s">
        <v>987</v>
      </c>
      <c r="K186" s="142" t="str">
        <f>IF(ISNA(HLOOKUP("start",ESLData!C$1:C$9960,MATCH($A186,ESLData!$B$1:$B$9960,0))),"",HLOOKUP("start",ESLData!C$1:C$9960,MATCH($A186,ESLData!$B$1:$B$9960,0)))</f>
        <v>Salaries - Ancillary</v>
      </c>
    </row>
    <row r="187" spans="1:12" ht="14.25" customHeight="1" x14ac:dyDescent="0.2">
      <c r="A187" s="144">
        <v>30350</v>
      </c>
      <c r="C187" s="143">
        <f>HLOOKUP("start",ESLData!E$1:E$9960,MATCH($A187,ESLData!$B$1:$B$9960,0))</f>
        <v>44995.85</v>
      </c>
      <c r="E187" s="143">
        <f>HLOOKUP("start",ESLData!F$1:F$9960,MATCH($A187,ESLData!$B$1:$B$9960,0))</f>
        <v>67230</v>
      </c>
      <c r="G187" s="143">
        <f>HLOOKUP("start",ESLData!H$1:H$9960,MATCH($A187,ESLData!$B$1:$B$9960,0))</f>
        <v>27163.43</v>
      </c>
      <c r="J187" s="156" t="s">
        <v>987</v>
      </c>
      <c r="K187" s="142" t="str">
        <f>IF(ISNA(HLOOKUP("start",ESLData!C$1:C$9960,MATCH($A187,ESLData!$B$1:$B$9960,0))),"",HLOOKUP("start",ESLData!C$1:C$9960,MATCH($A187,ESLData!$B$1:$B$9960,0)))</f>
        <v>Salaries - Relieving - Sick</v>
      </c>
    </row>
    <row r="188" spans="1:12" ht="14.25" customHeight="1" x14ac:dyDescent="0.2">
      <c r="A188" s="144">
        <v>30380</v>
      </c>
      <c r="C188" s="143">
        <f>HLOOKUP("start",ESLData!E$1:E$9960,MATCH($A188,ESLData!$B$1:$B$9960,0))</f>
        <v>13679767</v>
      </c>
      <c r="E188" s="143">
        <f>HLOOKUP("start",ESLData!F$1:F$9960,MATCH($A188,ESLData!$B$1:$B$9960,0))</f>
        <v>12500000</v>
      </c>
      <c r="G188" s="143">
        <f>HLOOKUP("start",ESLData!H$1:H$9960,MATCH($A188,ESLData!$B$1:$B$9960,0))</f>
        <v>12369060</v>
      </c>
      <c r="J188" s="156" t="s">
        <v>987</v>
      </c>
      <c r="K188" s="142" t="str">
        <f>IF(ISNA(HLOOKUP("start",ESLData!C$1:C$9960,MATCH($A188,ESLData!$B$1:$B$9960,0))),"",HLOOKUP("start",ESLData!C$1:C$9960,MATCH($A188,ESLData!$B$1:$B$9960,0)))</f>
        <v>Teachers Salaries</v>
      </c>
    </row>
    <row r="189" spans="1:12" ht="14.25" customHeight="1" x14ac:dyDescent="0.2">
      <c r="A189" s="144">
        <v>30390</v>
      </c>
      <c r="C189" s="143">
        <f>HLOOKUP("start",ESLData!E$1:E$9960,MATCH($A189,ESLData!$B$1:$B$9960,0))</f>
        <v>69750.12</v>
      </c>
      <c r="E189" s="143">
        <f>HLOOKUP("start",ESLData!F$1:F$9960,MATCH($A189,ESLData!$B$1:$B$9960,0))</f>
        <v>77546</v>
      </c>
      <c r="G189" s="143">
        <f>HLOOKUP("start",ESLData!H$1:H$9960,MATCH($A189,ESLData!$B$1:$B$9960,0))</f>
        <v>55130.63</v>
      </c>
      <c r="J189" s="156" t="s">
        <v>987</v>
      </c>
      <c r="K189" s="142" t="str">
        <f>IF(ISNA(HLOOKUP("start",ESLData!C$1:C$9960,MATCH($A189,ESLData!$B$1:$B$9960,0))),"",HLOOKUP("start",ESLData!C$1:C$9960,MATCH($A189,ESLData!$B$1:$B$9960,0)))</f>
        <v>Acc Funded Teacher Aide</v>
      </c>
    </row>
    <row r="190" spans="1:12" ht="14.25" customHeight="1" x14ac:dyDescent="0.2">
      <c r="A190" s="144">
        <v>30391</v>
      </c>
      <c r="C190" s="143">
        <f>HLOOKUP("start",ESLData!E$1:E$9960,MATCH($A190,ESLData!$B$1:$B$9960,0))</f>
        <v>0</v>
      </c>
      <c r="E190" s="143">
        <f>HLOOKUP("start",ESLData!F$1:F$9960,MATCH($A190,ESLData!$B$1:$B$9960,0))</f>
        <v>0</v>
      </c>
      <c r="G190" s="143">
        <f>HLOOKUP("start",ESLData!H$1:H$9960,MATCH($A190,ESLData!$B$1:$B$9960,0))</f>
        <v>351.19</v>
      </c>
      <c r="J190" s="156"/>
    </row>
    <row r="191" spans="1:12" ht="14.25" customHeight="1" x14ac:dyDescent="0.2">
      <c r="A191" s="144">
        <v>30392</v>
      </c>
      <c r="C191" s="143">
        <f>HLOOKUP("start",ESLData!E$1:E$9960,MATCH($A191,ESLData!$B$1:$B$9960,0))</f>
        <v>0</v>
      </c>
      <c r="E191" s="143">
        <f>HLOOKUP("start",ESLData!F$1:F$9960,MATCH($A191,ESLData!$B$1:$B$9960,0))</f>
        <v>0</v>
      </c>
      <c r="G191" s="143">
        <f>HLOOKUP("start",ESLData!H$1:H$9960,MATCH($A191,ESLData!$B$1:$B$9960,0))</f>
        <v>18.04</v>
      </c>
      <c r="J191" s="156"/>
    </row>
    <row r="192" spans="1:12" s="150" customFormat="1" ht="14.25" customHeight="1" x14ac:dyDescent="0.2">
      <c r="A192" s="144">
        <v>34140</v>
      </c>
      <c r="B192" s="142"/>
      <c r="C192" s="143">
        <f>HLOOKUP("start",ESLData!E$1:E$9960,MATCH($A192,ESLData!$B$1:$B$9960,0))</f>
        <v>0</v>
      </c>
      <c r="D192" s="148"/>
      <c r="E192" s="143">
        <f>HLOOKUP("start",ESLData!F$1:F$9960,MATCH($A192,ESLData!$B$1:$B$9960,0))</f>
        <v>0</v>
      </c>
      <c r="F192" s="148"/>
      <c r="G192" s="143">
        <f>HLOOKUP("start",ESLData!H$1:H$9960,MATCH($A192,ESLData!$B$1:$B$9960,0))</f>
        <v>0</v>
      </c>
      <c r="H192" s="148"/>
      <c r="K192" s="142" t="str">
        <f>IF(ISNA(HLOOKUP("start",ESLData!C$1:C$9960,MATCH($A192,ESLData!$B$1:$B$9960,0))),"",HLOOKUP("start",ESLData!C$1:C$9960,MATCH($A192,ESLData!$B$1:$B$9960,0)))</f>
        <v>Braille Music Teacher Contract</v>
      </c>
    </row>
    <row r="193" spans="1:11" ht="14.25" customHeight="1" x14ac:dyDescent="0.2">
      <c r="A193" s="144">
        <v>30385</v>
      </c>
      <c r="C193" s="143">
        <f>HLOOKUP("start",ESLData!E$1:E$9960,MATCH($A193,ESLData!$B$1:$B$9960,0))</f>
        <v>0</v>
      </c>
      <c r="E193" s="143">
        <f>HLOOKUP("start",ESLData!F$1:F$9960,MATCH($A193,ESLData!$B$1:$B$9960,0))</f>
        <v>0</v>
      </c>
      <c r="G193" s="143">
        <f>HLOOKUP("start",ESLData!H$1:H$9960,MATCH($A193,ESLData!$B$1:$B$9960,0))</f>
        <v>0</v>
      </c>
      <c r="J193" s="156" t="s">
        <v>987</v>
      </c>
      <c r="K193" s="142" t="str">
        <f>IF(ISNA(HLOOKUP("start",ESLData!C$1:C$9960,MATCH($A193,ESLData!$B$1:$B$9960,0))),"",HLOOKUP("start",ESLData!C$1:C$9960,MATCH($A193,ESLData!$B$1:$B$9960,0)))</f>
        <v>Salaries - Banked Staffing Under-usage</v>
      </c>
    </row>
    <row r="194" spans="1:11" ht="14.25" customHeight="1" x14ac:dyDescent="0.2">
      <c r="A194" s="144">
        <v>40002</v>
      </c>
      <c r="C194" s="143">
        <f>HLOOKUP("start",ESLData!E$1:E$9960,MATCH($A194,ESLData!$B$1:$B$9960,0))</f>
        <v>593.48</v>
      </c>
      <c r="E194" s="143">
        <f>HLOOKUP("start",ESLData!F$1:F$9960,MATCH($A194,ESLData!$B$1:$B$9960,0))</f>
        <v>750</v>
      </c>
      <c r="G194" s="143">
        <f>HLOOKUP("start",ESLData!H$1:H$9960,MATCH($A194,ESLData!$B$1:$B$9960,0))</f>
        <v>0</v>
      </c>
      <c r="J194" s="156"/>
      <c r="K194" s="142" t="str">
        <f>IF(ISNA(HLOOKUP("start",ESLData!C$1:C$9960,MATCH($A194,ESLData!$B$1:$B$9960,0))),"",HLOOKUP("start",ESLData!C$1:C$9960,MATCH($A194,ESLData!$B$1:$B$9960,0)))</f>
        <v>ACC</v>
      </c>
    </row>
    <row r="195" spans="1:11" ht="14.25" customHeight="1" x14ac:dyDescent="0.2">
      <c r="A195" s="144">
        <v>41002</v>
      </c>
      <c r="C195" s="143">
        <f>HLOOKUP("start",ESLData!E$1:E$9960,MATCH($A195,ESLData!$B$1:$B$9960,0))</f>
        <v>0</v>
      </c>
      <c r="E195" s="143">
        <f>HLOOKUP("start",ESLData!F$1:F$9960,MATCH($A195,ESLData!$B$1:$B$9960,0))</f>
        <v>1100</v>
      </c>
      <c r="G195" s="143">
        <f>HLOOKUP("start",ESLData!H$1:H$9960,MATCH($A195,ESLData!$B$1:$B$9960,0))</f>
        <v>0</v>
      </c>
      <c r="J195" s="156"/>
      <c r="K195" s="142" t="str">
        <f>IF(ISNA(HLOOKUP("start",ESLData!C$1:C$9960,MATCH($A195,ESLData!$B$1:$B$9960,0))),"",HLOOKUP("start",ESLData!C$1:C$9960,MATCH($A195,ESLData!$B$1:$B$9960,0)))</f>
        <v>ACC</v>
      </c>
    </row>
    <row r="196" spans="1:11" ht="14.25" customHeight="1" x14ac:dyDescent="0.2">
      <c r="A196" s="144">
        <v>30331</v>
      </c>
      <c r="C196" s="143">
        <f>HLOOKUP("start",ESLData!E$1:E$9960,MATCH($A196,ESLData!$B$1:$B$9960,0))</f>
        <v>0</v>
      </c>
      <c r="E196" s="143">
        <f>HLOOKUP("start",ESLData!F$1:F$9960,MATCH($A196,ESLData!$B$1:$B$9960,0))</f>
        <v>0</v>
      </c>
      <c r="G196" s="143">
        <f>HLOOKUP("start",ESLData!H$1:H$9960,MATCH($A196,ESLData!$B$1:$B$9960,0))</f>
        <v>0</v>
      </c>
      <c r="J196" s="156" t="s">
        <v>987</v>
      </c>
      <c r="K196" s="142" t="str">
        <f>IF(ISNA(HLOOKUP("start",ESLData!C$1:C$9960,MATCH($A196,ESLData!$B$1:$B$9960,0))),"",HLOOKUP("start",ESLData!C$1:C$9960,MATCH($A196,ESLData!$B$1:$B$9960,0)))</f>
        <v>Annual Leave Expenses</v>
      </c>
    </row>
    <row r="197" spans="1:11" ht="14.25" customHeight="1" x14ac:dyDescent="0.2">
      <c r="A197" s="144">
        <v>30395</v>
      </c>
      <c r="C197" s="143">
        <f>HLOOKUP("start",ESLData!E$1:E$9960,MATCH($A197,ESLData!$B$1:$B$9960,0))</f>
        <v>0</v>
      </c>
      <c r="D197" s="162">
        <f>ROUND(SUM(C186:C197),0)</f>
        <v>13833011</v>
      </c>
      <c r="E197" s="143">
        <f>HLOOKUP("start",ESLData!F$1:F$9960,MATCH($A197,ESLData!$B$1:$B$9960,0))</f>
        <v>5000</v>
      </c>
      <c r="F197" s="155">
        <f>ROUND(SUM(E186:E197),0)</f>
        <v>12689176</v>
      </c>
      <c r="G197" s="143">
        <f>HLOOKUP("start",ESLData!H$1:H$9960,MATCH($A197,ESLData!$B$1:$B$9960,0))</f>
        <v>935</v>
      </c>
      <c r="H197" s="162">
        <f>ROUND(SUM(G186:G197),0)</f>
        <v>12497749</v>
      </c>
      <c r="J197" s="156" t="s">
        <v>987</v>
      </c>
      <c r="K197" s="142" t="str">
        <f>IF(ISNA(HLOOKUP("start",ESLData!C$1:C$9960,MATCH($A197,ESLData!$B$1:$B$9960,0))),"",HLOOKUP("start",ESLData!C$1:C$9960,MATCH($A197,ESLData!$B$1:$B$9960,0)))</f>
        <v>Guidance Counsellor contract</v>
      </c>
    </row>
    <row r="198" spans="1:11" ht="14.25" customHeight="1" x14ac:dyDescent="0.2">
      <c r="A198" s="147" t="s">
        <v>419</v>
      </c>
      <c r="C198" s="143"/>
      <c r="E198" s="143"/>
      <c r="G198" s="143"/>
      <c r="J198" s="156" t="s">
        <v>987</v>
      </c>
      <c r="K198" s="142" t="str">
        <f>IF(ISNA(HLOOKUP("start",ESLData!C$1:C$9960,MATCH($A198,ESLData!$B$1:$B$9960,0))),"",HLOOKUP("start",ESLData!C$1:C$9960,MATCH($A198,ESLData!$B$1:$B$9960,0)))</f>
        <v/>
      </c>
    </row>
    <row r="199" spans="1:11" ht="14.25" customHeight="1" x14ac:dyDescent="0.2">
      <c r="A199" s="144">
        <v>30400</v>
      </c>
      <c r="C199" s="143">
        <f>HLOOKUP("start",ESLData!E$1:E$9960,MATCH($A199,ESLData!$B$1:$B$9960,0))</f>
        <v>9581.33</v>
      </c>
      <c r="E199" s="143">
        <f>HLOOKUP("start",ESLData!F$1:F$9960,MATCH($A199,ESLData!$B$1:$B$9960,0))</f>
        <v>10000</v>
      </c>
      <c r="G199" s="143">
        <f>HLOOKUP("start",ESLData!H$1:H$9960,MATCH($A199,ESLData!$B$1:$B$9960,0))</f>
        <v>12324.77</v>
      </c>
      <c r="J199" s="156" t="s">
        <v>987</v>
      </c>
      <c r="K199" s="142" t="str">
        <f>IF(ISNA(HLOOKUP("start",ESLData!C$1:C$9960,MATCH($A199,ESLData!$B$1:$B$9960,0))),"",HLOOKUP("start",ESLData!C$1:C$9960,MATCH($A199,ESLData!$B$1:$B$9960,0)))</f>
        <v>Prof Dev - Training &amp; Travel</v>
      </c>
    </row>
    <row r="200" spans="1:11" ht="14.25" customHeight="1" x14ac:dyDescent="0.2">
      <c r="A200" s="144">
        <v>30401</v>
      </c>
      <c r="C200" s="143">
        <f>HLOOKUP("start",ESLData!E$1:E$9960,MATCH($A200,ESLData!$B$1:$B$9960,0))</f>
        <v>0</v>
      </c>
      <c r="E200" s="143">
        <f>HLOOKUP("start",ESLData!F$1:F$9960,MATCH($A200,ESLData!$B$1:$B$9960,0))</f>
        <v>0</v>
      </c>
      <c r="G200" s="143">
        <f>HLOOKUP("start",ESLData!H$1:H$9960,MATCH($A200,ESLData!$B$1:$B$9960,0))</f>
        <v>0</v>
      </c>
      <c r="J200" s="156" t="s">
        <v>987</v>
      </c>
      <c r="K200" s="142" t="str">
        <f>IF(ISNA(HLOOKUP("start",ESLData!C$1:C$9960,MATCH($A200,ESLData!$B$1:$B$9960,0))),"",HLOOKUP("start",ESLData!C$1:C$9960,MATCH($A200,ESLData!$B$1:$B$9960,0)))</f>
        <v>PB4L</v>
      </c>
    </row>
    <row r="201" spans="1:11" ht="14.25" customHeight="1" x14ac:dyDescent="0.2">
      <c r="A201" s="145">
        <v>34453</v>
      </c>
      <c r="C201" s="143">
        <f>HLOOKUP("start",ESLData!E$1:E$9960,MATCH($A201,ESLData!$B$1:$B$9960,0))</f>
        <v>0</v>
      </c>
      <c r="D201" s="148"/>
      <c r="E201" s="143">
        <f>HLOOKUP("start",ESLData!F$1:F$9960,MATCH($A201,ESLData!$B$1:$B$9960,0))</f>
        <v>0</v>
      </c>
      <c r="F201" s="148"/>
      <c r="G201" s="143">
        <f>HLOOKUP("start",ESLData!H$1:H$9960,MATCH($A201,ESLData!$B$1:$B$9960,0))</f>
        <v>0</v>
      </c>
      <c r="H201" s="148"/>
      <c r="J201" s="156" t="s">
        <v>987</v>
      </c>
      <c r="K201" s="142" t="str">
        <f>IF(ISNA(HLOOKUP("start",ESLData!C$1:C$9960,MATCH($A201,ESLData!$B$1:$B$9960,0))),"",HLOOKUP("start",ESLData!C$1:C$9960,MATCH($A201,ESLData!$B$1:$B$9960,0)))</f>
        <v>Teacher Aide PD</v>
      </c>
    </row>
    <row r="202" spans="1:11" ht="14.25" customHeight="1" x14ac:dyDescent="0.2">
      <c r="A202" s="145">
        <v>41004</v>
      </c>
      <c r="C202" s="143">
        <f>HLOOKUP("start",ESLData!E$1:E$9960,MATCH($A202,ESLData!$B$1:$B$9960,0))</f>
        <v>3744.39</v>
      </c>
      <c r="D202" s="148"/>
      <c r="E202" s="143">
        <f>HLOOKUP("start",ESLData!F$1:F$9960,MATCH($A202,ESLData!$B$1:$B$9960,0))</f>
        <v>8000</v>
      </c>
      <c r="F202" s="148"/>
      <c r="G202" s="143">
        <f>HLOOKUP("start",ESLData!H$1:H$9960,MATCH($A202,ESLData!$B$1:$B$9960,0))</f>
        <v>0</v>
      </c>
      <c r="H202" s="148"/>
      <c r="J202" s="156"/>
      <c r="K202" s="142" t="str">
        <f>IF(ISNA(HLOOKUP("start",ESLData!C$1:C$9960,MATCH($A202,ESLData!$B$1:$B$9960,0))),"",HLOOKUP("start",ESLData!C$1:C$9960,MATCH($A202,ESLData!$B$1:$B$9960,0)))</f>
        <v>Staff Travel &amp; Accommodation</v>
      </c>
    </row>
    <row r="203" spans="1:11" ht="14.25" customHeight="1" x14ac:dyDescent="0.2">
      <c r="A203" s="144">
        <v>36011</v>
      </c>
      <c r="C203" s="143">
        <f>HLOOKUP("start",ESLData!E$1:E$9960,MATCH($A203,ESLData!$B$1:$B$9960,0))</f>
        <v>9297.11</v>
      </c>
      <c r="D203" s="162">
        <f>ROUND(SUM(C199:C203),0)</f>
        <v>22623</v>
      </c>
      <c r="E203" s="143">
        <f>HLOOKUP("start",ESLData!F$1:F$9960,MATCH($A203,ESLData!$B$1:$B$9960,0))</f>
        <v>12000</v>
      </c>
      <c r="F203" s="155">
        <f>ROUND(SUM(E199:E203),0)</f>
        <v>30000</v>
      </c>
      <c r="G203" s="143">
        <f>HLOOKUP("start",ESLData!H$1:H$9960,MATCH($A203,ESLData!$B$1:$B$9960,0))</f>
        <v>4377.75</v>
      </c>
      <c r="H203" s="162">
        <f>ROUND(SUM(G199:G203),0)</f>
        <v>16703</v>
      </c>
      <c r="J203" s="156" t="s">
        <v>987</v>
      </c>
      <c r="K203" s="142" t="str">
        <f>IF(ISNA(HLOOKUP("start",ESLData!C$1:C$9960,MATCH($A203,ESLData!$B$1:$B$9960,0))),"",HLOOKUP("start",ESLData!C$1:C$9960,MATCH($A203,ESLData!$B$1:$B$9960,0)))</f>
        <v>BELS - Staff Travel &amp; Accommodation</v>
      </c>
    </row>
    <row r="204" spans="1:11" ht="14.25" customHeight="1" x14ac:dyDescent="0.2">
      <c r="A204" s="145"/>
      <c r="C204" s="143"/>
      <c r="E204" s="143"/>
      <c r="F204" s="148"/>
      <c r="G204" s="143"/>
      <c r="K204" s="142" t="str">
        <f>IF(ISNA(HLOOKUP("start",ESLData!C$1:C$9960,MATCH($A204,ESLData!$B$1:$B$9960,0))),"",HLOOKUP("start",ESLData!C$1:C$9960,MATCH($A204,ESLData!$B$1:$B$9960,0)))</f>
        <v/>
      </c>
    </row>
    <row r="205" spans="1:11" s="154" customFormat="1" ht="14.25" customHeight="1" x14ac:dyDescent="0.2">
      <c r="A205" s="151" t="s">
        <v>979</v>
      </c>
      <c r="B205" s="142"/>
      <c r="C205" s="143"/>
      <c r="D205" s="142"/>
      <c r="E205" s="143"/>
      <c r="F205" s="142"/>
      <c r="G205" s="143"/>
      <c r="H205" s="142"/>
      <c r="K205" s="142" t="str">
        <f>IF(ISNA(HLOOKUP("start",ESLData!C$1:C$9960,MATCH($A205,ESLData!$B$1:$B$9960,0))),"",HLOOKUP("start",ESLData!C$1:C$9960,MATCH($A205,ESLData!$B$1:$B$9960,0)))</f>
        <v/>
      </c>
    </row>
    <row r="206" spans="1:11" ht="14.25" customHeight="1" x14ac:dyDescent="0.2">
      <c r="A206" s="147" t="s">
        <v>617</v>
      </c>
      <c r="C206" s="143"/>
      <c r="E206" s="143"/>
      <c r="G206" s="143"/>
      <c r="K206" s="142" t="str">
        <f>IF(ISNA(HLOOKUP("start",ESLData!C$1:C$9960,MATCH($A206,ESLData!$B$1:$B$9960,0))),"",HLOOKUP("start",ESLData!C$1:C$9960,MATCH($A206,ESLData!$B$1:$B$9960,0)))</f>
        <v/>
      </c>
    </row>
    <row r="207" spans="1:11" ht="14.25" customHeight="1" x14ac:dyDescent="0.2">
      <c r="A207" s="144">
        <v>33290</v>
      </c>
      <c r="C207" s="143">
        <f>HLOOKUP("start",ESLData!E$1:E$9960,MATCH($A207,ESLData!$B$1:$B$9960,0))</f>
        <v>310.95999999999998</v>
      </c>
      <c r="E207" s="143">
        <f>HLOOKUP("start",ESLData!F$1:F$9960,MATCH($A207,ESLData!$B$1:$B$9960,0))</f>
        <v>0</v>
      </c>
      <c r="G207" s="143">
        <f>HLOOKUP("start",ESLData!H$1:H$9960,MATCH($A207,ESLData!$B$1:$B$9960,0))</f>
        <v>346.84</v>
      </c>
      <c r="J207" s="156" t="s">
        <v>987</v>
      </c>
      <c r="K207" s="142" t="str">
        <f>IF(ISNA(HLOOKUP("start",ESLData!C$1:C$9960,MATCH($A207,ESLData!$B$1:$B$9960,0))),"",HLOOKUP("start",ESLData!C$1:C$9960,MATCH($A207,ESLData!$B$1:$B$9960,0)))</f>
        <v>Tactile Production</v>
      </c>
    </row>
    <row r="208" spans="1:11" ht="14.25" customHeight="1" x14ac:dyDescent="0.2">
      <c r="A208" s="144">
        <v>33295</v>
      </c>
      <c r="C208" s="143">
        <f>HLOOKUP("start",ESLData!E$1:E$9960,MATCH($A208,ESLData!$B$1:$B$9960,0))</f>
        <v>0</v>
      </c>
      <c r="E208" s="143">
        <f>HLOOKUP("start",ESLData!F$1:F$9960,MATCH($A208,ESLData!$B$1:$B$9960,0))</f>
        <v>0</v>
      </c>
      <c r="G208" s="143">
        <f>HLOOKUP("start",ESLData!H$1:H$9960,MATCH($A208,ESLData!$B$1:$B$9960,0))</f>
        <v>0</v>
      </c>
      <c r="J208" s="156" t="s">
        <v>987</v>
      </c>
      <c r="K208" s="142" t="str">
        <f>IF(ISNA(HLOOKUP("start",ESLData!C$1:C$9960,MATCH($A208,ESLData!$B$1:$B$9960,0))),"",HLOOKUP("start",ESLData!C$1:C$9960,MATCH($A208,ESLData!$B$1:$B$9960,0)))</f>
        <v>Volunteer Expenses</v>
      </c>
    </row>
    <row r="209" spans="1:11" ht="14.25" customHeight="1" x14ac:dyDescent="0.2">
      <c r="A209" s="144">
        <v>33400</v>
      </c>
      <c r="C209" s="143">
        <f>HLOOKUP("start",ESLData!E$1:E$9960,MATCH($A209,ESLData!$B$1:$B$9960,0))</f>
        <v>1540.52</v>
      </c>
      <c r="E209" s="143">
        <f>HLOOKUP("start",ESLData!F$1:F$9960,MATCH($A209,ESLData!$B$1:$B$9960,0))</f>
        <v>4500</v>
      </c>
      <c r="G209" s="143">
        <f>HLOOKUP("start",ESLData!H$1:H$9960,MATCH($A209,ESLData!$B$1:$B$9960,0))</f>
        <v>2387.9</v>
      </c>
      <c r="J209" s="156" t="s">
        <v>987</v>
      </c>
      <c r="K209" s="142" t="str">
        <f>IF(ISNA(HLOOKUP("start",ESLData!C$1:C$9960,MATCH($A209,ESLData!$B$1:$B$9960,0))),"",HLOOKUP("start",ESLData!C$1:C$9960,MATCH($A209,ESLData!$B$1:$B$9960,0)))</f>
        <v>Petrol</v>
      </c>
    </row>
    <row r="210" spans="1:11" ht="14.25" customHeight="1" x14ac:dyDescent="0.2">
      <c r="A210" s="144">
        <v>33410</v>
      </c>
      <c r="C210" s="143">
        <f>HLOOKUP("start",ESLData!E$1:E$9960,MATCH($A210,ESLData!$B$1:$B$9960,0))</f>
        <v>0</v>
      </c>
      <c r="E210" s="143">
        <f>HLOOKUP("start",ESLData!F$1:F$9960,MATCH($A210,ESLData!$B$1:$B$9960,0))</f>
        <v>850</v>
      </c>
      <c r="G210" s="143">
        <f>HLOOKUP("start",ESLData!H$1:H$9960,MATCH($A210,ESLData!$B$1:$B$9960,0))</f>
        <v>45</v>
      </c>
      <c r="J210" s="156" t="s">
        <v>987</v>
      </c>
      <c r="K210" s="142" t="str">
        <f>IF(ISNA(HLOOKUP("start",ESLData!C$1:C$9960,MATCH($A210,ESLData!$B$1:$B$9960,0))),"",HLOOKUP("start",ESLData!C$1:C$9960,MATCH($A210,ESLData!$B$1:$B$9960,0)))</f>
        <v>Vehicle Registration</v>
      </c>
    </row>
    <row r="211" spans="1:11" ht="14.25" customHeight="1" x14ac:dyDescent="0.2">
      <c r="A211" s="144">
        <v>33430</v>
      </c>
      <c r="C211" s="143">
        <f>HLOOKUP("start",ESLData!E$1:E$9960,MATCH($A211,ESLData!$B$1:$B$9960,0))</f>
        <v>9000</v>
      </c>
      <c r="E211" s="143">
        <f>HLOOKUP("start",ESLData!F$1:F$9960,MATCH($A211,ESLData!$B$1:$B$9960,0))</f>
        <v>9000</v>
      </c>
      <c r="F211" s="165"/>
      <c r="G211" s="143">
        <f>HLOOKUP("start",ESLData!H$1:H$9960,MATCH($A211,ESLData!$B$1:$B$9960,0))</f>
        <v>2152.5</v>
      </c>
      <c r="J211" s="156" t="s">
        <v>987</v>
      </c>
      <c r="K211" s="142" t="str">
        <f>IF(ISNA(HLOOKUP("start",ESLData!C$1:C$9960,MATCH($A211,ESLData!$B$1:$B$9960,0))),"",HLOOKUP("start",ESLData!C$1:C$9960,MATCH($A211,ESLData!$B$1:$B$9960,0)))</f>
        <v>Vehicle Lease</v>
      </c>
    </row>
    <row r="212" spans="1:11" ht="14.25" customHeight="1" x14ac:dyDescent="0.2">
      <c r="A212" s="144">
        <v>33440</v>
      </c>
      <c r="C212" s="143">
        <f>HLOOKUP("start",ESLData!E$1:E$9960,MATCH($A212,ESLData!$B$1:$B$9960,0))</f>
        <v>4801.58</v>
      </c>
      <c r="D212" s="148"/>
      <c r="E212" s="143">
        <f>HLOOKUP("start",ESLData!F$1:F$9960,MATCH($A212,ESLData!$B$1:$B$9960,0))</f>
        <v>3800</v>
      </c>
      <c r="F212" s="148"/>
      <c r="G212" s="143">
        <f>HLOOKUP("start",ESLData!H$1:H$9960,MATCH($A212,ESLData!$B$1:$B$9960,0))</f>
        <v>1275</v>
      </c>
      <c r="H212" s="148"/>
      <c r="J212" s="156" t="s">
        <v>987</v>
      </c>
      <c r="K212" s="142" t="str">
        <f>IF(ISNA(HLOOKUP("start",ESLData!C$1:C$9960,MATCH($A212,ESLData!$B$1:$B$9960,0))),"",HLOOKUP("start",ESLData!C$1:C$9960,MATCH($A212,ESLData!$B$1:$B$9960,0)))</f>
        <v>Vehicle Insurance</v>
      </c>
    </row>
    <row r="213" spans="1:11" ht="14.25" customHeight="1" x14ac:dyDescent="0.2">
      <c r="A213" s="144">
        <v>33450</v>
      </c>
      <c r="C213" s="143">
        <f>HLOOKUP("start",ESLData!E$1:E$9960,MATCH($A213,ESLData!$B$1:$B$9960,0))</f>
        <v>60874.78</v>
      </c>
      <c r="D213" s="148"/>
      <c r="E213" s="143">
        <f>HLOOKUP("start",ESLData!F$1:F$9960,MATCH($A213,ESLData!$B$1:$B$9960,0))</f>
        <v>54000</v>
      </c>
      <c r="F213" s="148"/>
      <c r="G213" s="143">
        <f>HLOOKUP("start",ESLData!H$1:H$9960,MATCH($A213,ESLData!$B$1:$B$9960,0))</f>
        <v>50450.78</v>
      </c>
      <c r="H213" s="148"/>
      <c r="J213" s="156" t="s">
        <v>987</v>
      </c>
      <c r="K213" s="142" t="str">
        <f>IF(ISNA(HLOOKUP("start",ESLData!C$1:C$9960,MATCH($A213,ESLData!$B$1:$B$9960,0))),"",HLOOKUP("start",ESLData!C$1:C$9960,MATCH($A213,ESLData!$B$1:$B$9960,0)))</f>
        <v>Speech Language Therapy</v>
      </c>
    </row>
    <row r="214" spans="1:11" ht="14.25" customHeight="1" x14ac:dyDescent="0.2">
      <c r="A214" s="144">
        <v>33460</v>
      </c>
      <c r="C214" s="143">
        <f>HLOOKUP("start",ESLData!E$1:E$9960,MATCH($A214,ESLData!$B$1:$B$9960,0))</f>
        <v>62143.5</v>
      </c>
      <c r="E214" s="143">
        <f>HLOOKUP("start",ESLData!F$1:F$9960,MATCH($A214,ESLData!$B$1:$B$9960,0))</f>
        <v>72600</v>
      </c>
      <c r="G214" s="143">
        <f>HLOOKUP("start",ESLData!H$1:H$9960,MATCH($A214,ESLData!$B$1:$B$9960,0))</f>
        <v>67116.210000000006</v>
      </c>
      <c r="J214" s="156" t="s">
        <v>987</v>
      </c>
      <c r="K214" s="142" t="str">
        <f>IF(ISNA(HLOOKUP("start",ESLData!C$1:C$9960,MATCH($A214,ESLData!$B$1:$B$9960,0))),"",HLOOKUP("start",ESLData!C$1:C$9960,MATCH($A214,ESLData!$B$1:$B$9960,0)))</f>
        <v>Occupational Therapy</v>
      </c>
    </row>
    <row r="215" spans="1:11" ht="14.25" customHeight="1" x14ac:dyDescent="0.2">
      <c r="A215" s="144">
        <v>33470</v>
      </c>
      <c r="C215" s="143">
        <f>HLOOKUP("start",ESLData!E$1:E$9960,MATCH($A215,ESLData!$B$1:$B$9960,0))</f>
        <v>69786.83</v>
      </c>
      <c r="E215" s="143">
        <f>HLOOKUP("start",ESLData!F$1:F$9960,MATCH($A215,ESLData!$B$1:$B$9960,0))</f>
        <v>76000</v>
      </c>
      <c r="G215" s="143">
        <f>HLOOKUP("start",ESLData!H$1:H$9960,MATCH($A215,ESLData!$B$1:$B$9960,0))</f>
        <v>44338</v>
      </c>
      <c r="J215" s="156" t="s">
        <v>987</v>
      </c>
      <c r="K215" s="142" t="str">
        <f>IF(ISNA(HLOOKUP("start",ESLData!C$1:C$9960,MATCH($A215,ESLData!$B$1:$B$9960,0))),"",HLOOKUP("start",ESLData!C$1:C$9960,MATCH($A215,ESLData!$B$1:$B$9960,0)))</f>
        <v>Physiotheraphy</v>
      </c>
    </row>
    <row r="216" spans="1:11" ht="14.25" customHeight="1" x14ac:dyDescent="0.2">
      <c r="A216" s="144">
        <v>33480</v>
      </c>
      <c r="C216" s="143">
        <f>HLOOKUP("start",ESLData!E$1:E$9960,MATCH($A216,ESLData!$B$1:$B$9960,0))</f>
        <v>1669.56</v>
      </c>
      <c r="E216" s="143">
        <f>HLOOKUP("start",ESLData!F$1:F$9960,MATCH($A216,ESLData!$B$1:$B$9960,0))</f>
        <v>3500</v>
      </c>
      <c r="G216" s="143">
        <f>HLOOKUP("start",ESLData!H$1:H$9960,MATCH($A216,ESLData!$B$1:$B$9960,0))</f>
        <v>920.01</v>
      </c>
      <c r="J216" s="156" t="s">
        <v>987</v>
      </c>
      <c r="K216" s="142" t="str">
        <f>IF(ISNA(HLOOKUP("start",ESLData!C$1:C$9960,MATCH($A216,ESLData!$B$1:$B$9960,0))),"",HLOOKUP("start",ESLData!C$1:C$9960,MATCH($A216,ESLData!$B$1:$B$9960,0)))</f>
        <v>Riding For Disabled</v>
      </c>
    </row>
    <row r="217" spans="1:11" ht="14.25" customHeight="1" x14ac:dyDescent="0.2">
      <c r="A217" s="144">
        <v>33500</v>
      </c>
      <c r="C217" s="143">
        <f>HLOOKUP("start",ESLData!E$1:E$9960,MATCH($A217,ESLData!$B$1:$B$9960,0))</f>
        <v>27864.11</v>
      </c>
      <c r="E217" s="143">
        <f>HLOOKUP("start",ESLData!F$1:F$9960,MATCH($A217,ESLData!$B$1:$B$9960,0))</f>
        <v>57000</v>
      </c>
      <c r="G217" s="143">
        <f>HLOOKUP("start",ESLData!H$1:H$9960,MATCH($A217,ESLData!$B$1:$B$9960,0))</f>
        <v>35656.800000000003</v>
      </c>
      <c r="J217" s="156" t="s">
        <v>987</v>
      </c>
      <c r="K217" s="142" t="str">
        <f>IF(ISNA(HLOOKUP("start",ESLData!C$1:C$9960,MATCH($A217,ESLData!$B$1:$B$9960,0))),"",HLOOKUP("start",ESLData!C$1:C$9960,MATCH($A217,ESLData!$B$1:$B$9960,0)))</f>
        <v>Orientation &amp; Mobility - School</v>
      </c>
    </row>
    <row r="218" spans="1:11" ht="14.25" customHeight="1" x14ac:dyDescent="0.2">
      <c r="A218" s="144">
        <v>33510</v>
      </c>
      <c r="C218" s="143">
        <f>HLOOKUP("start",ESLData!E$1:E$9960,MATCH($A218,ESLData!$B$1:$B$9960,0))</f>
        <v>14037.93</v>
      </c>
      <c r="E218" s="143">
        <f>HLOOKUP("start",ESLData!F$1:F$9960,MATCH($A218,ESLData!$B$1:$B$9960,0))</f>
        <v>23500</v>
      </c>
      <c r="G218" s="143">
        <f>HLOOKUP("start",ESLData!H$1:H$9960,MATCH($A218,ESLData!$B$1:$B$9960,0))</f>
        <v>18870.189999999999</v>
      </c>
      <c r="J218" s="156"/>
    </row>
    <row r="219" spans="1:11" ht="14.25" customHeight="1" x14ac:dyDescent="0.2">
      <c r="A219" s="144">
        <v>33512</v>
      </c>
      <c r="C219" s="143">
        <f>HLOOKUP("start",ESLData!E$1:E$9960,MATCH($A219,ESLData!$B$1:$B$9960,0))</f>
        <v>0</v>
      </c>
      <c r="E219" s="143">
        <f>HLOOKUP("start",ESLData!F$1:F$9960,MATCH($A219,ESLData!$B$1:$B$9960,0))</f>
        <v>3500</v>
      </c>
      <c r="G219" s="143">
        <f>HLOOKUP("start",ESLData!H$1:H$9960,MATCH($A219,ESLData!$B$1:$B$9960,0))</f>
        <v>0</v>
      </c>
      <c r="J219" s="156" t="s">
        <v>987</v>
      </c>
      <c r="K219" s="142" t="str">
        <f>IF(ISNA(HLOOKUP("start",ESLData!C$1:C$9960,MATCH($A219,ESLData!$B$1:$B$9960,0))),"",HLOOKUP("start",ESLData!C$1:C$9960,MATCH($A219,ESLData!$B$1:$B$9960,0)))</f>
        <v>Psychologist Support From Gse</v>
      </c>
    </row>
    <row r="220" spans="1:11" ht="14.25" customHeight="1" x14ac:dyDescent="0.2">
      <c r="A220" s="144">
        <v>33520</v>
      </c>
      <c r="C220" s="143">
        <f>HLOOKUP("start",ESLData!E$1:E$9960,MATCH($A220,ESLData!$B$1:$B$9960,0))</f>
        <v>3188.98</v>
      </c>
      <c r="E220" s="143">
        <f>HLOOKUP("start",ESLData!F$1:F$9960,MATCH($A220,ESLData!$B$1:$B$9960,0))</f>
        <v>2800</v>
      </c>
      <c r="G220" s="143">
        <f>HLOOKUP("start",ESLData!H$1:H$9960,MATCH($A220,ESLData!$B$1:$B$9960,0))</f>
        <v>5600</v>
      </c>
      <c r="J220" s="156" t="s">
        <v>987</v>
      </c>
      <c r="K220" s="142" t="str">
        <f>IF(ISNA(HLOOKUP("start",ESLData!C$1:C$9960,MATCH($A220,ESLData!$B$1:$B$9960,0))),"",HLOOKUP("start",ESLData!C$1:C$9960,MATCH($A220,ESLData!$B$1:$B$9960,0)))</f>
        <v>Braille Music</v>
      </c>
    </row>
    <row r="221" spans="1:11" ht="14.25" customHeight="1" x14ac:dyDescent="0.2">
      <c r="A221" s="144">
        <v>33525</v>
      </c>
      <c r="C221" s="143">
        <f>HLOOKUP("start",ESLData!E$1:E$9960,MATCH($A221,ESLData!$B$1:$B$9960,0))</f>
        <v>24165.03</v>
      </c>
      <c r="E221" s="143">
        <f>HLOOKUP("start",ESLData!F$1:F$9960,MATCH($A221,ESLData!$B$1:$B$9960,0))</f>
        <v>37600</v>
      </c>
      <c r="G221" s="143">
        <f>HLOOKUP("start",ESLData!H$1:H$9960,MATCH($A221,ESLData!$B$1:$B$9960,0))</f>
        <v>8623.48</v>
      </c>
      <c r="J221" s="156" t="s">
        <v>987</v>
      </c>
      <c r="K221" s="142" t="str">
        <f>IF(ISNA(HLOOKUP("start",ESLData!C$1:C$9960,MATCH($A221,ESLData!$B$1:$B$9960,0))),"",HLOOKUP("start",ESLData!C$1:C$9960,MATCH($A221,ESLData!$B$1:$B$9960,0)))</f>
        <v>Music Therapist</v>
      </c>
    </row>
    <row r="222" spans="1:11" ht="14.25" customHeight="1" x14ac:dyDescent="0.2">
      <c r="A222" s="144">
        <v>33540</v>
      </c>
      <c r="C222" s="143">
        <f>HLOOKUP("start",ESLData!E$1:E$9960,MATCH($A222,ESLData!$B$1:$B$9960,0))</f>
        <v>150</v>
      </c>
      <c r="E222" s="143">
        <f>HLOOKUP("start",ESLData!F$1:F$9960,MATCH($A222,ESLData!$B$1:$B$9960,0))</f>
        <v>600</v>
      </c>
      <c r="G222" s="143">
        <f>HLOOKUP("start",ESLData!H$1:H$9960,MATCH($A222,ESLData!$B$1:$B$9960,0))</f>
        <v>0</v>
      </c>
      <c r="J222" s="156" t="s">
        <v>987</v>
      </c>
      <c r="K222" s="142" t="str">
        <f>IF(ISNA(HLOOKUP("start",ESLData!C$1:C$9960,MATCH($A222,ESLData!$B$1:$B$9960,0))),"",HLOOKUP("start",ESLData!C$1:C$9960,MATCH($A222,ESLData!$B$1:$B$9960,0)))</f>
        <v>Interpreter Expenses</v>
      </c>
    </row>
    <row r="223" spans="1:11" ht="14.25" customHeight="1" x14ac:dyDescent="0.2">
      <c r="A223" s="144">
        <v>33560</v>
      </c>
      <c r="C223" s="143">
        <f>HLOOKUP("start",ESLData!E$1:E$9960,MATCH($A223,ESLData!$B$1:$B$9960,0))</f>
        <v>10500.61</v>
      </c>
      <c r="D223" s="148"/>
      <c r="E223" s="143">
        <f>HLOOKUP("start",ESLData!F$1:F$9960,MATCH($A223,ESLData!$B$1:$B$9960,0))</f>
        <v>12500</v>
      </c>
      <c r="F223" s="148"/>
      <c r="G223" s="143">
        <f>HLOOKUP("start",ESLData!H$1:H$9960,MATCH($A223,ESLData!$B$1:$B$9960,0))</f>
        <v>3446.75</v>
      </c>
      <c r="J223" s="156" t="s">
        <v>987</v>
      </c>
      <c r="K223" s="142" t="str">
        <f>IF(ISNA(HLOOKUP("start",ESLData!C$1:C$9960,MATCH($A223,ESLData!$B$1:$B$9960,0))),"",HLOOKUP("start",ESLData!C$1:C$9960,MATCH($A223,ESLData!$B$1:$B$9960,0)))</f>
        <v>Student Consumables Ors</v>
      </c>
    </row>
    <row r="224" spans="1:11" ht="14.25" customHeight="1" x14ac:dyDescent="0.2">
      <c r="A224" s="144">
        <v>33565</v>
      </c>
      <c r="C224" s="143">
        <f>HLOOKUP("start",ESLData!E$1:E$9960,MATCH($A224,ESLData!$B$1:$B$9960,0))</f>
        <v>7725.59</v>
      </c>
      <c r="E224" s="143">
        <f>HLOOKUP("start",ESLData!F$1:F$9960,MATCH($A224,ESLData!$B$1:$B$9960,0))</f>
        <v>9000</v>
      </c>
      <c r="G224" s="143">
        <f>HLOOKUP("start",ESLData!H$1:H$9960,MATCH($A224,ESLData!$B$1:$B$9960,0))</f>
        <v>6192.73</v>
      </c>
      <c r="J224" s="156" t="s">
        <v>987</v>
      </c>
      <c r="K224" s="142" t="str">
        <f>IF(ISNA(HLOOKUP("start",ESLData!C$1:C$9960,MATCH($A224,ESLData!$B$1:$B$9960,0))),"",HLOOKUP("start",ESLData!C$1:C$9960,MATCH($A224,ESLData!$B$1:$B$9960,0)))</f>
        <v>Consumables - Transition Programme</v>
      </c>
    </row>
    <row r="225" spans="1:11" ht="14.25" customHeight="1" x14ac:dyDescent="0.2">
      <c r="A225" s="144">
        <v>33566</v>
      </c>
      <c r="C225" s="143">
        <f>HLOOKUP("start",ESLData!E$1:E$9960,MATCH($A225,ESLData!$B$1:$B$9960,0))</f>
        <v>55209.7</v>
      </c>
      <c r="E225" s="143">
        <f>HLOOKUP("start",ESLData!F$1:F$9960,MATCH($A225,ESLData!$B$1:$B$9960,0))</f>
        <v>55947</v>
      </c>
      <c r="G225" s="143">
        <f>HLOOKUP("start",ESLData!H$1:H$9960,MATCH($A225,ESLData!$B$1:$B$9960,0))</f>
        <v>0</v>
      </c>
      <c r="J225" s="156"/>
      <c r="K225" s="142" t="str">
        <f>IF(ISNA(HLOOKUP("start",ESLData!C$1:C$9960,MATCH($A225,ESLData!$B$1:$B$9960,0))),"",HLOOKUP("start",ESLData!C$1:C$9960,MATCH($A225,ESLData!$B$1:$B$9960,0)))</f>
        <v>Teacher Aide Support</v>
      </c>
    </row>
    <row r="226" spans="1:11" ht="14.25" customHeight="1" x14ac:dyDescent="0.2">
      <c r="A226" s="144">
        <v>33567</v>
      </c>
      <c r="C226" s="143">
        <f>HLOOKUP("start",ESLData!E$1:E$9960,MATCH($A226,ESLData!$B$1:$B$9960,0))</f>
        <v>10200</v>
      </c>
      <c r="E226" s="143">
        <f>HLOOKUP("start",ESLData!F$1:F$9960,MATCH($A226,ESLData!$B$1:$B$9960,0))</f>
        <v>5600</v>
      </c>
      <c r="G226" s="143">
        <f>HLOOKUP("start",ESLData!H$1:H$9960,MATCH($A226,ESLData!$B$1:$B$9960,0))</f>
        <v>0</v>
      </c>
      <c r="J226" s="156"/>
      <c r="K226" s="142" t="str">
        <f>IF(ISNA(HLOOKUP("start",ESLData!C$1:C$9960,MATCH($A226,ESLData!$B$1:$B$9960,0))),"",HLOOKUP("start",ESLData!C$1:C$9960,MATCH($A226,ESLData!$B$1:$B$9960,0)))</f>
        <v>Braille Music</v>
      </c>
    </row>
    <row r="227" spans="1:11" ht="14.25" customHeight="1" x14ac:dyDescent="0.2">
      <c r="A227" s="144">
        <v>33568</v>
      </c>
      <c r="C227" s="143">
        <f>HLOOKUP("start",ESLData!E$1:E$9960,MATCH($A227,ESLData!$B$1:$B$9960,0))</f>
        <v>0</v>
      </c>
      <c r="E227" s="143">
        <f>HLOOKUP("start",ESLData!F$1:F$9960,MATCH($A227,ESLData!$B$1:$B$9960,0))</f>
        <v>8000</v>
      </c>
      <c r="G227" s="143">
        <f>HLOOKUP("start",ESLData!H$1:H$9960,MATCH($A227,ESLData!$B$1:$B$9960,0))</f>
        <v>8000</v>
      </c>
      <c r="J227" s="156"/>
      <c r="K227" s="142" t="str">
        <f>IF(ISNA(HLOOKUP("start",ESLData!C$1:C$9960,MATCH($A227,ESLData!$B$1:$B$9960,0))),"",HLOOKUP("start",ESLData!C$1:C$9960,MATCH($A227,ESLData!$B$1:$B$9960,0)))</f>
        <v>Therapy Support</v>
      </c>
    </row>
    <row r="228" spans="1:11" ht="14.25" customHeight="1" x14ac:dyDescent="0.2">
      <c r="A228" s="144">
        <v>33569</v>
      </c>
      <c r="C228" s="143">
        <f>HLOOKUP("start",ESLData!E$1:E$9960,MATCH($A228,ESLData!$B$1:$B$9960,0))</f>
        <v>9000</v>
      </c>
      <c r="E228" s="143">
        <f>HLOOKUP("start",ESLData!F$1:F$9960,MATCH($A228,ESLData!$B$1:$B$9960,0))</f>
        <v>9000</v>
      </c>
      <c r="G228" s="143">
        <f>HLOOKUP("start",ESLData!H$1:H$9960,MATCH($A228,ESLData!$B$1:$B$9960,0))</f>
        <v>9937.5</v>
      </c>
      <c r="J228" s="156"/>
      <c r="K228" s="142" t="str">
        <f>IF(ISNA(HLOOKUP("start",ESLData!C$1:C$9960,MATCH($A228,ESLData!$B$1:$B$9960,0))),"",HLOOKUP("start",ESLData!C$1:C$9960,MATCH($A228,ESLData!$B$1:$B$9960,0)))</f>
        <v>Vehicle Lease EOTC</v>
      </c>
    </row>
    <row r="229" spans="1:11" ht="14.25" customHeight="1" x14ac:dyDescent="0.2">
      <c r="A229" s="144">
        <v>33580</v>
      </c>
      <c r="C229" s="143">
        <f>HLOOKUP("start",ESLData!E$1:E$9960,MATCH($A229,ESLData!$B$1:$B$9960,0))</f>
        <v>9744.7000000000007</v>
      </c>
      <c r="D229" s="148"/>
      <c r="E229" s="143">
        <f>HLOOKUP("start",ESLData!F$1:F$9960,MATCH($A229,ESLData!$B$1:$B$9960,0))</f>
        <v>3500</v>
      </c>
      <c r="F229" s="148"/>
      <c r="G229" s="143">
        <f>HLOOKUP("start",ESLData!H$1:H$9960,MATCH($A229,ESLData!$B$1:$B$9960,0))</f>
        <v>2891.59</v>
      </c>
      <c r="H229" s="148"/>
      <c r="J229" s="156" t="s">
        <v>987</v>
      </c>
      <c r="K229" s="142" t="str">
        <f>IF(ISNA(HLOOKUP("start",ESLData!C$1:C$9960,MATCH($A229,ESLData!$B$1:$B$9960,0))),"",HLOOKUP("start",ESLData!C$1:C$9960,MATCH($A229,ESLData!$B$1:$B$9960,0)))</f>
        <v>Rubbish Disposal - Nappies</v>
      </c>
    </row>
    <row r="230" spans="1:11" ht="14.25" customHeight="1" x14ac:dyDescent="0.2">
      <c r="A230" s="144">
        <v>33590</v>
      </c>
      <c r="C230" s="143">
        <f>HLOOKUP("start",ESLData!E$1:E$9960,MATCH($A230,ESLData!$B$1:$B$9960,0))</f>
        <v>1930.22</v>
      </c>
      <c r="D230" s="148"/>
      <c r="E230" s="143">
        <f>HLOOKUP("start",ESLData!F$1:F$9960,MATCH($A230,ESLData!$B$1:$B$9960,0))</f>
        <v>2500</v>
      </c>
      <c r="F230" s="148"/>
      <c r="G230" s="143">
        <f>HLOOKUP("start",ESLData!H$1:H$9960,MATCH($A230,ESLData!$B$1:$B$9960,0))</f>
        <v>828.25</v>
      </c>
      <c r="H230" s="148"/>
      <c r="J230" s="156" t="s">
        <v>987</v>
      </c>
      <c r="K230" s="142" t="str">
        <f>IF(ISNA(HLOOKUP("start",ESLData!C$1:C$9960,MATCH($A230,ESLData!$B$1:$B$9960,0))),"",HLOOKUP("start",ESLData!C$1:C$9960,MATCH($A230,ESLData!$B$1:$B$9960,0)))</f>
        <v>Laundry</v>
      </c>
    </row>
    <row r="231" spans="1:11" ht="14.25" customHeight="1" x14ac:dyDescent="0.2">
      <c r="A231" s="144">
        <v>33600</v>
      </c>
      <c r="C231" s="143">
        <f>HLOOKUP("start",ESLData!E$1:E$9960,MATCH($A231,ESLData!$B$1:$B$9960,0))</f>
        <v>750.3</v>
      </c>
      <c r="D231" s="148"/>
      <c r="E231" s="143">
        <f>HLOOKUP("start",ESLData!F$1:F$9960,MATCH($A231,ESLData!$B$1:$B$9960,0))</f>
        <v>2500</v>
      </c>
      <c r="F231" s="148"/>
      <c r="G231" s="143">
        <f>HLOOKUP("start",ESLData!H$1:H$9960,MATCH($A231,ESLData!$B$1:$B$9960,0))</f>
        <v>1636.09</v>
      </c>
      <c r="H231" s="148"/>
      <c r="J231" s="156" t="s">
        <v>987</v>
      </c>
      <c r="K231" s="142" t="str">
        <f>IF(ISNA(HLOOKUP("start",ESLData!C$1:C$9960,MATCH($A231,ESLData!$B$1:$B$9960,0))),"",HLOOKUP("start",ESLData!C$1:C$9960,MATCH($A231,ESLData!$B$1:$B$9960,0)))</f>
        <v>General Stores</v>
      </c>
    </row>
    <row r="232" spans="1:11" ht="14.25" customHeight="1" x14ac:dyDescent="0.2">
      <c r="A232" s="144">
        <v>33610</v>
      </c>
      <c r="C232" s="143">
        <f>HLOOKUP("start",ESLData!E$1:E$9960,MATCH($A232,ESLData!$B$1:$B$9960,0))</f>
        <v>960.57</v>
      </c>
      <c r="D232" s="148"/>
      <c r="E232" s="143">
        <f>HLOOKUP("start",ESLData!F$1:F$9960,MATCH($A232,ESLData!$B$1:$B$9960,0))</f>
        <v>1500</v>
      </c>
      <c r="F232" s="148"/>
      <c r="G232" s="143">
        <f>HLOOKUP("start",ESLData!H$1:H$9960,MATCH($A232,ESLData!$B$1:$B$9960,0))</f>
        <v>981.35</v>
      </c>
      <c r="H232" s="148"/>
      <c r="J232" s="156" t="s">
        <v>987</v>
      </c>
      <c r="K232" s="142" t="str">
        <f>IF(ISNA(HLOOKUP("start",ESLData!C$1:C$9960,MATCH($A232,ESLData!$B$1:$B$9960,0))),"",HLOOKUP("start",ESLData!C$1:C$9960,MATCH($A232,ESLData!$B$1:$B$9960,0)))</f>
        <v>Food Programme Costs</v>
      </c>
    </row>
    <row r="233" spans="1:11" ht="14.25" customHeight="1" x14ac:dyDescent="0.2">
      <c r="A233" s="144">
        <v>36016</v>
      </c>
      <c r="C233" s="143">
        <f>HLOOKUP("start",ESLData!E$1:E$9960,MATCH($A233,ESLData!$B$1:$B$9960,0))</f>
        <v>2628.66</v>
      </c>
      <c r="D233" s="148"/>
      <c r="E233" s="143">
        <f>HLOOKUP("start",ESLData!F$1:F$9960,MATCH($A233,ESLData!$B$1:$B$9960,0))</f>
        <v>4000</v>
      </c>
      <c r="F233" s="148"/>
      <c r="G233" s="143">
        <f>HLOOKUP("start",ESLData!H$1:H$9960,MATCH($A233,ESLData!$B$1:$B$9960,0))</f>
        <v>0</v>
      </c>
      <c r="H233" s="148"/>
      <c r="J233" s="156" t="s">
        <v>987</v>
      </c>
      <c r="K233" s="142" t="str">
        <f>IF(ISNA(HLOOKUP("start",ESLData!C$1:C$9960,MATCH($A233,ESLData!$B$1:$B$9960,0))),"",HLOOKUP("start",ESLData!C$1:C$9960,MATCH($A233,ESLData!$B$1:$B$9960,0)))</f>
        <v>Therapy, Consultants, Coaching</v>
      </c>
    </row>
    <row r="234" spans="1:11" ht="14.25" customHeight="1" x14ac:dyDescent="0.2">
      <c r="A234" s="144">
        <v>36017</v>
      </c>
      <c r="C234" s="143">
        <f>HLOOKUP("start",ESLData!E$1:E$9960,MATCH($A234,ESLData!$B$1:$B$9960,0))</f>
        <v>0</v>
      </c>
      <c r="E234" s="143">
        <f>HLOOKUP("start",ESLData!F$1:F$9960,MATCH($A234,ESLData!$B$1:$B$9960,0))</f>
        <v>0</v>
      </c>
      <c r="G234" s="143">
        <f>HLOOKUP("start",ESLData!H$1:H$9960,MATCH($A234,ESLData!$B$1:$B$9960,0))</f>
        <v>1500</v>
      </c>
      <c r="J234" s="156" t="s">
        <v>987</v>
      </c>
      <c r="K234" s="142" t="str">
        <f>IF(ISNA(HLOOKUP("start",ESLData!C$1:C$9960,MATCH($A234,ESLData!$B$1:$B$9960,0))),"",HLOOKUP("start",ESLData!C$1:C$9960,MATCH($A234,ESLData!$B$1:$B$9960,0)))</f>
        <v>BELS - Music Therapy</v>
      </c>
    </row>
    <row r="235" spans="1:11" ht="14.25" customHeight="1" x14ac:dyDescent="0.2">
      <c r="A235" s="144">
        <v>36018</v>
      </c>
      <c r="C235" s="143">
        <f>HLOOKUP("start",ESLData!E$1:E$9960,MATCH($A235,ESLData!$B$1:$B$9960,0))</f>
        <v>0</v>
      </c>
      <c r="E235" s="143">
        <f>HLOOKUP("start",ESLData!F$1:F$9960,MATCH($A235,ESLData!$B$1:$B$9960,0))</f>
        <v>0</v>
      </c>
      <c r="G235" s="143">
        <f>HLOOKUP("start",ESLData!H$1:H$9960,MATCH($A235,ESLData!$B$1:$B$9960,0))</f>
        <v>700</v>
      </c>
      <c r="J235" s="156" t="s">
        <v>987</v>
      </c>
      <c r="K235" s="142" t="str">
        <f>IF(ISNA(HLOOKUP("start",ESLData!C$1:C$9960,MATCH($A235,ESLData!$B$1:$B$9960,0))),"",HLOOKUP("start",ESLData!C$1:C$9960,MATCH($A235,ESLData!$B$1:$B$9960,0)))</f>
        <v>BELS - Physiotherapy</v>
      </c>
    </row>
    <row r="236" spans="1:11" ht="14.25" customHeight="1" x14ac:dyDescent="0.2">
      <c r="A236" s="144">
        <v>36019</v>
      </c>
      <c r="C236" s="143">
        <f>HLOOKUP("start",ESLData!E$1:E$9960,MATCH($A236,ESLData!$B$1:$B$9960,0))</f>
        <v>0</v>
      </c>
      <c r="D236" s="162">
        <f>ROUND(SUM(C207:C236),0)</f>
        <v>388184</v>
      </c>
      <c r="E236" s="143">
        <f>HLOOKUP("start",ESLData!F$1:F$9960,MATCH($A236,ESLData!$B$1:$B$9960,0))</f>
        <v>0</v>
      </c>
      <c r="F236" s="155">
        <f>ROUND(SUM(E207:E236),0)</f>
        <v>463297</v>
      </c>
      <c r="G236" s="143">
        <f>HLOOKUP("start",ESLData!H$1:H$9960,MATCH($A236,ESLData!$B$1:$B$9960,0))</f>
        <v>1500</v>
      </c>
      <c r="H236" s="162">
        <f>ROUND(SUM(G207:G236),0)</f>
        <v>275397</v>
      </c>
      <c r="J236" s="156" t="s">
        <v>987</v>
      </c>
      <c r="K236" s="142" t="str">
        <f>IF(ISNA(HLOOKUP("start",ESLData!C$1:C$9960,MATCH($A236,ESLData!$B$1:$B$9960,0))),"",HLOOKUP("start",ESLData!C$1:C$9960,MATCH($A236,ESLData!$B$1:$B$9960,0)))</f>
        <v>BELS - Occupational Therapy</v>
      </c>
    </row>
    <row r="237" spans="1:11" ht="14.25" customHeight="1" x14ac:dyDescent="0.2">
      <c r="C237" s="143"/>
      <c r="D237" s="155"/>
      <c r="E237" s="143"/>
      <c r="F237" s="155"/>
      <c r="G237" s="143"/>
      <c r="H237" s="155"/>
      <c r="J237" s="156"/>
    </row>
    <row r="238" spans="1:11" ht="14.25" customHeight="1" x14ac:dyDescent="0.2">
      <c r="C238" s="143"/>
      <c r="D238" s="155"/>
      <c r="E238" s="143"/>
      <c r="F238" s="155"/>
      <c r="G238" s="143"/>
      <c r="H238" s="155"/>
      <c r="J238" s="156"/>
    </row>
    <row r="239" spans="1:11" ht="14.25" customHeight="1" x14ac:dyDescent="0.2">
      <c r="A239" s="147" t="s">
        <v>978</v>
      </c>
      <c r="C239" s="143"/>
      <c r="E239" s="143"/>
      <c r="G239" s="143"/>
      <c r="J239" s="156" t="s">
        <v>987</v>
      </c>
      <c r="K239" s="142" t="str">
        <f>IF(ISNA(HLOOKUP("start",ESLData!C$1:C$9960,MATCH($A239,ESLData!$B$1:$B$9960,0))),"",HLOOKUP("start",ESLData!C$1:C$9960,MATCH($A239,ESLData!$B$1:$B$9960,0)))</f>
        <v/>
      </c>
    </row>
    <row r="240" spans="1:11" ht="14.25" customHeight="1" x14ac:dyDescent="0.2">
      <c r="A240" s="144">
        <v>33420</v>
      </c>
      <c r="C240" s="143">
        <f>HLOOKUP("start",ESLData!E$1:E$9960,MATCH($A240,ESLData!$B$1:$B$9960,0))</f>
        <v>217.39</v>
      </c>
      <c r="D240" s="162">
        <f>ROUND(C240,0)</f>
        <v>217</v>
      </c>
      <c r="E240" s="143">
        <f>HLOOKUP("start",ESLData!F$1:F$9960,MATCH($A240,ESLData!$B$1:$B$9960,0))</f>
        <v>1500</v>
      </c>
      <c r="F240" s="155">
        <f>ROUND(E240,0)</f>
        <v>1500</v>
      </c>
      <c r="G240" s="143">
        <f>HLOOKUP("start",ESLData!H$1:H$9960,MATCH($A240,ESLData!$B$1:$B$9960,0))</f>
        <v>264.57</v>
      </c>
      <c r="H240" s="162">
        <f>ROUND(G240,0)</f>
        <v>265</v>
      </c>
      <c r="J240" s="156" t="s">
        <v>987</v>
      </c>
      <c r="K240" s="142" t="str">
        <f>IF(ISNA(HLOOKUP("start",ESLData!C$1:C$9960,MATCH($A240,ESLData!$B$1:$B$9960,0))),"",HLOOKUP("start",ESLData!C$1:C$9960,MATCH($A240,ESLData!$B$1:$B$9960,0)))</f>
        <v>Vehicle R&amp;M</v>
      </c>
    </row>
    <row r="241" spans="1:11" ht="14.25" customHeight="1" x14ac:dyDescent="0.2">
      <c r="C241" s="143"/>
      <c r="D241" s="155"/>
      <c r="E241" s="143"/>
      <c r="F241" s="155"/>
      <c r="G241" s="143"/>
      <c r="H241" s="155"/>
      <c r="J241" s="156"/>
    </row>
    <row r="242" spans="1:11" ht="14.25" customHeight="1" x14ac:dyDescent="0.2">
      <c r="C242" s="143"/>
      <c r="D242" s="155"/>
      <c r="E242" s="143"/>
      <c r="F242" s="155"/>
      <c r="G242" s="143"/>
      <c r="H242" s="155"/>
      <c r="J242" s="156"/>
    </row>
    <row r="243" spans="1:11" ht="14.25" customHeight="1" x14ac:dyDescent="0.2">
      <c r="A243" s="147" t="s">
        <v>418</v>
      </c>
      <c r="C243" s="143"/>
      <c r="E243" s="143"/>
      <c r="G243" s="143"/>
      <c r="J243" s="156" t="s">
        <v>987</v>
      </c>
      <c r="K243" s="142" t="str">
        <f>IF(ISNA(HLOOKUP("start",ESLData!C$1:C$9960,MATCH($A243,ESLData!$B$1:$B$9960,0))),"",HLOOKUP("start",ESLData!C$1:C$9960,MATCH($A243,ESLData!$B$1:$B$9960,0)))</f>
        <v/>
      </c>
    </row>
    <row r="244" spans="1:11" ht="14.25" customHeight="1" x14ac:dyDescent="0.2">
      <c r="A244" s="144">
        <v>33010</v>
      </c>
      <c r="C244" s="143">
        <f>HLOOKUP("start",ESLData!E$1:E$9960,MATCH($A244,ESLData!$B$1:$B$9960,0))</f>
        <v>480594.73</v>
      </c>
      <c r="E244" s="143">
        <f>HLOOKUP("start",ESLData!F$1:F$9960,MATCH($A244,ESLData!$B$1:$B$9960,0))</f>
        <v>408330</v>
      </c>
      <c r="G244" s="143">
        <f>HLOOKUP("start",ESLData!H$1:H$9960,MATCH($A244,ESLData!$B$1:$B$9960,0))</f>
        <v>488856.51</v>
      </c>
      <c r="J244" s="156" t="s">
        <v>987</v>
      </c>
      <c r="K244" s="142" t="str">
        <f>IF(ISNA(HLOOKUP("start",ESLData!C$1:C$9960,MATCH($A244,ESLData!$B$1:$B$9960,0))),"",HLOOKUP("start",ESLData!C$1:C$9960,MATCH($A244,ESLData!$B$1:$B$9960,0)))</f>
        <v>Teacher Aides/Asst Salaries</v>
      </c>
    </row>
    <row r="245" spans="1:11" ht="14.25" customHeight="1" x14ac:dyDescent="0.2">
      <c r="A245" s="144">
        <v>33011</v>
      </c>
      <c r="C245" s="143">
        <f>HLOOKUP("start",ESLData!E$1:E$9960,MATCH($A245,ESLData!$B$1:$B$9960,0))</f>
        <v>84523.21</v>
      </c>
      <c r="E245" s="143">
        <f>HLOOKUP("start",ESLData!F$1:F$9960,MATCH($A245,ESLData!$B$1:$B$9960,0))</f>
        <v>71225</v>
      </c>
      <c r="G245" s="143">
        <f>HLOOKUP("start",ESLData!H$1:H$9960,MATCH($A245,ESLData!$B$1:$B$9960,0))</f>
        <v>60126.87</v>
      </c>
      <c r="J245" s="156"/>
      <c r="K245" s="142" t="str">
        <f>IF(ISNA(HLOOKUP("start",ESLData!C$1:C$9960,MATCH($A245,ESLData!$B$1:$B$9960,0))),"",HLOOKUP("start",ESLData!C$1:C$9960,MATCH($A245,ESLData!$B$1:$B$9960,0)))</f>
        <v>Teacher Aides - Tamaoho</v>
      </c>
    </row>
    <row r="246" spans="1:11" ht="14.25" customHeight="1" x14ac:dyDescent="0.2">
      <c r="A246" s="144">
        <v>33012</v>
      </c>
      <c r="C246" s="143">
        <f>HLOOKUP("start",ESLData!E$1:E$9960,MATCH($A246,ESLData!$B$1:$B$9960,0))</f>
        <v>86260.24</v>
      </c>
      <c r="E246" s="143">
        <f>HLOOKUP("start",ESLData!F$1:F$9960,MATCH($A246,ESLData!$B$1:$B$9960,0))</f>
        <v>72291</v>
      </c>
      <c r="G246" s="143">
        <f>HLOOKUP("start",ESLData!H$1:H$9960,MATCH($A246,ESLData!$B$1:$B$9960,0))</f>
        <v>12941.23</v>
      </c>
      <c r="J246" s="156"/>
      <c r="K246" s="142" t="str">
        <f>IF(ISNA(HLOOKUP("start",ESLData!C$1:C$9960,MATCH($A246,ESLData!$B$1:$B$9960,0))),"",HLOOKUP("start",ESLData!C$1:C$9960,MATCH($A246,ESLData!$B$1:$B$9960,0)))</f>
        <v>Teacher Aides - Scott Point</v>
      </c>
    </row>
    <row r="247" spans="1:11" ht="14.25" customHeight="1" x14ac:dyDescent="0.2">
      <c r="A247" s="144">
        <v>33013</v>
      </c>
      <c r="C247" s="143">
        <f>HLOOKUP("start",ESLData!E$1:E$9960,MATCH($A247,ESLData!$B$1:$B$9960,0))</f>
        <v>39799.07</v>
      </c>
      <c r="E247" s="143">
        <f>HLOOKUP("start",ESLData!F$1:F$9960,MATCH($A247,ESLData!$B$1:$B$9960,0))</f>
        <v>118702</v>
      </c>
      <c r="G247" s="143">
        <f>HLOOKUP("start",ESLData!H$1:H$9960,MATCH($A247,ESLData!$B$1:$B$9960,0))</f>
        <v>0</v>
      </c>
      <c r="J247" s="156"/>
      <c r="K247" s="142" t="str">
        <f>IF(ISNA(HLOOKUP("start",ESLData!C$1:C$9960,MATCH($A247,ESLData!$B$1:$B$9960,0))),"",HLOOKUP("start",ESLData!C$1:C$9960,MATCH($A247,ESLData!$B$1:$B$9960,0)))</f>
        <v>Teacher Aides - James Cook</v>
      </c>
    </row>
    <row r="248" spans="1:11" ht="14.25" customHeight="1" x14ac:dyDescent="0.2">
      <c r="A248" s="144">
        <v>33015</v>
      </c>
      <c r="C248" s="143">
        <f>HLOOKUP("start",ESLData!E$1:E$9960,MATCH($A248,ESLData!$B$1:$B$9960,0))</f>
        <v>483.57</v>
      </c>
      <c r="E248" s="143">
        <f>HLOOKUP("start",ESLData!F$1:F$9960,MATCH($A248,ESLData!$B$1:$B$9960,0))</f>
        <v>0</v>
      </c>
      <c r="G248" s="143">
        <f>HLOOKUP("start",ESLData!H$1:H$9960,MATCH($A248,ESLData!$B$1:$B$9960,0))</f>
        <v>86414</v>
      </c>
      <c r="J248" s="156" t="s">
        <v>987</v>
      </c>
      <c r="K248" s="142" t="str">
        <f>IF(ISNA(HLOOKUP("start",ESLData!C$1:C$9960,MATCH($A248,ESLData!$B$1:$B$9960,0))),"",HLOOKUP("start",ESLData!C$1:C$9960,MATCH($A248,ESLData!$B$1:$B$9960,0)))</f>
        <v>Support Staff</v>
      </c>
    </row>
    <row r="249" spans="1:11" ht="14.25" customHeight="1" x14ac:dyDescent="0.2">
      <c r="A249" s="144">
        <v>33020</v>
      </c>
      <c r="C249" s="143">
        <f>HLOOKUP("start",ESLData!E$1:E$9960,MATCH($A249,ESLData!$B$1:$B$9960,0))</f>
        <v>3020.57</v>
      </c>
      <c r="E249" s="143">
        <f>HLOOKUP("start",ESLData!F$1:F$9960,MATCH($A249,ESLData!$B$1:$B$9960,0))</f>
        <v>3891</v>
      </c>
      <c r="G249" s="143">
        <f>HLOOKUP("start",ESLData!H$1:H$9960,MATCH($A249,ESLData!$B$1:$B$9960,0))</f>
        <v>1845.22</v>
      </c>
      <c r="J249" s="156" t="s">
        <v>987</v>
      </c>
      <c r="K249" s="142" t="str">
        <f>IF(ISNA(HLOOKUP("start",ESLData!C$1:C$9960,MATCH($A249,ESLData!$B$1:$B$9960,0))),"",HLOOKUP("start",ESLData!C$1:C$9960,MATCH($A249,ESLData!$B$1:$B$9960,0)))</f>
        <v>Acc Levies</v>
      </c>
    </row>
    <row r="250" spans="1:11" ht="14.25" customHeight="1" x14ac:dyDescent="0.2">
      <c r="A250" s="144">
        <v>33040</v>
      </c>
      <c r="C250" s="143">
        <f>HLOOKUP("start",ESLData!E$1:E$9960,MATCH($A250,ESLData!$B$1:$B$9960,0))</f>
        <v>904.61</v>
      </c>
      <c r="E250" s="143">
        <f>HLOOKUP("start",ESLData!F$1:F$9960,MATCH($A250,ESLData!$B$1:$B$9960,0))</f>
        <v>1500</v>
      </c>
      <c r="G250" s="143">
        <f>HLOOKUP("start",ESLData!H$1:H$9960,MATCH($A250,ESLData!$B$1:$B$9960,0))</f>
        <v>2107.6999999999998</v>
      </c>
      <c r="J250" s="156" t="s">
        <v>987</v>
      </c>
      <c r="K250" s="142" t="str">
        <f>IF(ISNA(HLOOKUP("start",ESLData!C$1:C$9960,MATCH($A250,ESLData!$B$1:$B$9960,0))),"",HLOOKUP("start",ESLData!C$1:C$9960,MATCH($A250,ESLData!$B$1:$B$9960,0)))</f>
        <v>Recruitment/Advertising</v>
      </c>
    </row>
    <row r="251" spans="1:11" ht="14.25" customHeight="1" x14ac:dyDescent="0.2">
      <c r="A251" s="144">
        <v>33070</v>
      </c>
      <c r="C251" s="143">
        <f>HLOOKUP("start",ESLData!E$1:E$9960,MATCH($A251,ESLData!$B$1:$B$9960,0))</f>
        <v>0</v>
      </c>
      <c r="E251" s="143">
        <f>HLOOKUP("start",ESLData!F$1:F$9960,MATCH($A251,ESLData!$B$1:$B$9960,0))</f>
        <v>1400</v>
      </c>
      <c r="G251" s="143">
        <f>HLOOKUP("start",ESLData!H$1:H$9960,MATCH($A251,ESLData!$B$1:$B$9960,0))</f>
        <v>0</v>
      </c>
      <c r="J251" s="156" t="s">
        <v>987</v>
      </c>
      <c r="K251" s="142" t="str">
        <f>IF(ISNA(HLOOKUP("start",ESLData!C$1:C$9960,MATCH($A251,ESLData!$B$1:$B$9960,0))),"",HLOOKUP("start",ESLData!C$1:C$9960,MATCH($A251,ESLData!$B$1:$B$9960,0)))</f>
        <v>Allowances</v>
      </c>
    </row>
    <row r="252" spans="1:11" ht="14.25" customHeight="1" x14ac:dyDescent="0.2">
      <c r="A252" s="144">
        <v>33285</v>
      </c>
      <c r="C252" s="143">
        <f>HLOOKUP("start",ESLData!E$1:E$9960,MATCH($A252,ESLData!$B$1:$B$9960,0))</f>
        <v>9808.93</v>
      </c>
      <c r="E252" s="143">
        <f>HLOOKUP("start",ESLData!F$1:F$9960,MATCH($A252,ESLData!$B$1:$B$9960,0))</f>
        <v>6518</v>
      </c>
      <c r="G252" s="143">
        <f>HLOOKUP("start",ESLData!H$1:H$9960,MATCH($A252,ESLData!$B$1:$B$9960,0))</f>
        <v>6823.88</v>
      </c>
      <c r="J252" s="156" t="s">
        <v>987</v>
      </c>
      <c r="K252" s="142" t="str">
        <f>IF(ISNA(HLOOKUP("start",ESLData!C$1:C$9960,MATCH($A252,ESLData!$B$1:$B$9960,0))),"",HLOOKUP("start",ESLData!C$1:C$9960,MATCH($A252,ESLData!$B$1:$B$9960,0)))</f>
        <v>Tactile Production Salaries</v>
      </c>
    </row>
    <row r="253" spans="1:11" ht="14.25" customHeight="1" x14ac:dyDescent="0.2">
      <c r="A253" s="144">
        <v>36020</v>
      </c>
      <c r="C253" s="143">
        <f>HLOOKUP("start",ESLData!E$1:E$9960,MATCH($A253,ESLData!$B$1:$B$9960,0))</f>
        <v>52703.91</v>
      </c>
      <c r="D253" s="162">
        <f>ROUND(SUM(C244:C253),0)</f>
        <v>758099</v>
      </c>
      <c r="E253" s="143">
        <f>HLOOKUP("start",ESLData!F$1:F$9960,MATCH($A253,ESLData!$B$1:$B$9960,0))</f>
        <v>49110</v>
      </c>
      <c r="F253" s="155">
        <f>ROUND(SUM(E244:E253),0)</f>
        <v>732967</v>
      </c>
      <c r="G253" s="143">
        <f>HLOOKUP("start",ESLData!H$1:H$9960,MATCH($A253,ESLData!$B$1:$B$9960,0))</f>
        <v>46125.85</v>
      </c>
      <c r="H253" s="162">
        <f>ROUND(SUM(G244:G253),0)</f>
        <v>705241</v>
      </c>
      <c r="J253" s="156" t="s">
        <v>987</v>
      </c>
      <c r="K253" s="142" t="str">
        <f>IF(ISNA(HLOOKUP("start",ESLData!C$1:C$9960,MATCH($A253,ESLData!$B$1:$B$9960,0))),"",HLOOKUP("start",ESLData!C$1:C$9960,MATCH($A253,ESLData!$B$1:$B$9960,0)))</f>
        <v>Salaries - Administration</v>
      </c>
    </row>
    <row r="254" spans="1:11" ht="14.25" customHeight="1" x14ac:dyDescent="0.2">
      <c r="C254" s="143"/>
      <c r="D254" s="155"/>
      <c r="E254" s="143"/>
      <c r="F254" s="155"/>
      <c r="G254" s="143"/>
      <c r="H254" s="155"/>
      <c r="J254" s="146"/>
    </row>
    <row r="255" spans="1:11" ht="14.25" customHeight="1" x14ac:dyDescent="0.2">
      <c r="C255" s="143"/>
      <c r="D255" s="155"/>
      <c r="E255" s="143"/>
      <c r="F255" s="155"/>
      <c r="G255" s="143"/>
      <c r="H255" s="155"/>
      <c r="J255" s="146"/>
    </row>
    <row r="256" spans="1:11" ht="14.25" customHeight="1" x14ac:dyDescent="0.2">
      <c r="A256" s="147" t="s">
        <v>419</v>
      </c>
      <c r="C256" s="143"/>
      <c r="D256" s="152"/>
      <c r="E256" s="143"/>
      <c r="F256" s="152"/>
      <c r="G256" s="143"/>
      <c r="H256" s="152"/>
      <c r="J256" s="146" t="s">
        <v>987</v>
      </c>
      <c r="K256" s="142" t="str">
        <f>IF(ISNA(HLOOKUP("start",ESLData!C$1:C$9960,MATCH($A256,ESLData!$B$1:$B$9960,0))),"",HLOOKUP("start",ESLData!C$1:C$9960,MATCH($A256,ESLData!$B$1:$B$9960,0)))</f>
        <v/>
      </c>
    </row>
    <row r="257" spans="1:11" ht="14.25" customHeight="1" x14ac:dyDescent="0.2">
      <c r="A257" s="144">
        <v>33050</v>
      </c>
      <c r="C257" s="143">
        <f>HLOOKUP("start",ESLData!E$1:E$9960,MATCH($A257,ESLData!$B$1:$B$9960,0))</f>
        <v>0</v>
      </c>
      <c r="D257" s="162">
        <f>ROUND(C257,0)</f>
        <v>0</v>
      </c>
      <c r="E257" s="143">
        <f>HLOOKUP("start",ESLData!F$1:F$9960,MATCH($A257,ESLData!$B$1:$B$9960,0))</f>
        <v>2000</v>
      </c>
      <c r="F257" s="155">
        <f>ROUND(E257,0)</f>
        <v>2000</v>
      </c>
      <c r="G257" s="143">
        <f>HLOOKUP("start",ESLData!H$1:H$9960,MATCH($A257,ESLData!$B$1:$B$9960,0))</f>
        <v>0</v>
      </c>
      <c r="H257" s="162">
        <f>ROUND(G257,0)</f>
        <v>0</v>
      </c>
      <c r="J257" s="156" t="s">
        <v>987</v>
      </c>
      <c r="K257" s="142" t="str">
        <f>IF(ISNA(HLOOKUP("start",ESLData!C$1:C$9960,MATCH($A257,ESLData!$B$1:$B$9960,0))),"",HLOOKUP("start",ESLData!C$1:C$9960,MATCH($A257,ESLData!$B$1:$B$9960,0)))</f>
        <v>Training &amp; Developemet</v>
      </c>
    </row>
    <row r="258" spans="1:11" ht="14.25" customHeight="1" x14ac:dyDescent="0.2">
      <c r="C258" s="143"/>
      <c r="D258" s="148"/>
      <c r="E258" s="143"/>
      <c r="F258" s="148"/>
      <c r="G258" s="143"/>
      <c r="H258" s="148"/>
      <c r="J258" s="146"/>
      <c r="K258" s="142" t="str">
        <f>IF(ISNA(HLOOKUP("start",ESLData!C$1:C$9960,MATCH($A258,ESLData!$B$1:$B$9960,0))),"",HLOOKUP("start",ESLData!C$1:C$9960,MATCH($A258,ESLData!$B$1:$B$9960,0)))</f>
        <v/>
      </c>
    </row>
    <row r="259" spans="1:11" s="154" customFormat="1" ht="14.25" customHeight="1" x14ac:dyDescent="0.2">
      <c r="A259" s="151" t="s">
        <v>980</v>
      </c>
      <c r="B259" s="142"/>
      <c r="C259" s="143"/>
      <c r="D259" s="142"/>
      <c r="E259" s="143"/>
      <c r="F259" s="142"/>
      <c r="G259" s="143"/>
      <c r="H259" s="142"/>
      <c r="K259" s="142" t="str">
        <f>IF(ISNA(HLOOKUP("start",ESLData!C$1:C$9960,MATCH($A259,ESLData!$B$1:$B$9960,0))),"",HLOOKUP("start",ESLData!C$1:C$9960,MATCH($A259,ESLData!$B$1:$B$9960,0)))</f>
        <v/>
      </c>
    </row>
    <row r="260" spans="1:11" ht="14.25" customHeight="1" x14ac:dyDescent="0.2">
      <c r="A260" s="147" t="s">
        <v>617</v>
      </c>
      <c r="C260" s="143"/>
      <c r="E260" s="143"/>
      <c r="G260" s="143"/>
      <c r="K260" s="142" t="str">
        <f>IF(ISNA(HLOOKUP("start",ESLData!C$1:C$9960,MATCH($A260,ESLData!$B$1:$B$9960,0))),"",HLOOKUP("start",ESLData!C$1:C$9960,MATCH($A260,ESLData!$B$1:$B$9960,0)))</f>
        <v/>
      </c>
    </row>
    <row r="261" spans="1:11" ht="14.25" customHeight="1" x14ac:dyDescent="0.2">
      <c r="A261" s="144">
        <v>38979</v>
      </c>
      <c r="C261" s="143">
        <f>HLOOKUP("start",ESLData!E$1:E$9960,MATCH($A261,ESLData!$B$1:$B$9960,0))</f>
        <v>0</v>
      </c>
      <c r="E261" s="143">
        <f>HLOOKUP("start",ESLData!F$1:F$9960,MATCH($A261,ESLData!$B$1:$B$9960,0))</f>
        <v>0</v>
      </c>
      <c r="G261" s="143">
        <f>HLOOKUP("start",ESLData!H$1:H$9960,MATCH($A261,ESLData!$B$1:$B$9960,0))</f>
        <v>26.09</v>
      </c>
      <c r="J261" s="156" t="s">
        <v>987</v>
      </c>
      <c r="K261" s="142" t="str">
        <f>IF(ISNA(HLOOKUP("start",ESLData!C$1:C$9960,MATCH($A261,ESLData!$B$1:$B$9960,0))),"",HLOOKUP("start",ESLData!C$1:C$9960,MATCH($A261,ESLData!$B$1:$B$9960,0)))</f>
        <v>Technology</v>
      </c>
    </row>
    <row r="262" spans="1:11" ht="14.25" customHeight="1" x14ac:dyDescent="0.2">
      <c r="A262" s="144">
        <v>38987</v>
      </c>
      <c r="C262" s="143">
        <f>HLOOKUP("start",ESLData!E$1:E$9960,MATCH($A262,ESLData!$B$1:$B$9960,0))</f>
        <v>0</v>
      </c>
      <c r="E262" s="143">
        <f>HLOOKUP("start",ESLData!F$1:F$9960,MATCH($A262,ESLData!$B$1:$B$9960,0))</f>
        <v>0</v>
      </c>
      <c r="G262" s="143">
        <f>HLOOKUP("start",ESLData!H$1:H$9960,MATCH($A262,ESLData!$B$1:$B$9960,0))</f>
        <v>0</v>
      </c>
      <c r="J262" s="156" t="s">
        <v>987</v>
      </c>
      <c r="K262" s="142" t="str">
        <f>IF(ISNA(HLOOKUP("start",ESLData!C$1:C$9960,MATCH($A262,ESLData!$B$1:$B$9960,0))),"",HLOOKUP("start",ESLData!C$1:C$9960,MATCH($A262,ESLData!$B$1:$B$9960,0)))</f>
        <v>Life Skills</v>
      </c>
    </row>
    <row r="263" spans="1:11" ht="14.25" customHeight="1" x14ac:dyDescent="0.2">
      <c r="A263" s="144">
        <v>38010</v>
      </c>
      <c r="C263" s="143">
        <f>HLOOKUP("start",ESLData!E$1:E$9960,MATCH($A263,ESLData!$B$1:$B$9960,0))</f>
        <v>1854.54</v>
      </c>
      <c r="E263" s="143">
        <f>HLOOKUP("start",ESLData!F$1:F$9960,MATCH($A263,ESLData!$B$1:$B$9960,0))</f>
        <v>2000</v>
      </c>
      <c r="G263" s="143">
        <f>HLOOKUP("start",ESLData!H$1:H$9960,MATCH($A263,ESLData!$B$1:$B$9960,0))</f>
        <v>83.04</v>
      </c>
      <c r="J263" s="156" t="s">
        <v>987</v>
      </c>
      <c r="K263" s="142" t="str">
        <f>IF(ISNA(HLOOKUP("start",ESLData!C$1:C$9960,MATCH($A263,ESLData!$B$1:$B$9960,0))),"",HLOOKUP("start",ESLData!C$1:C$9960,MATCH($A263,ESLData!$B$1:$B$9960,0)))</f>
        <v>Recreational Outings</v>
      </c>
    </row>
    <row r="264" spans="1:11" ht="14.25" customHeight="1" x14ac:dyDescent="0.2">
      <c r="A264" s="144">
        <v>38011</v>
      </c>
      <c r="C264" s="143">
        <f>HLOOKUP("start",ESLData!E$1:E$9960,MATCH($A264,ESLData!$B$1:$B$9960,0))</f>
        <v>125.82</v>
      </c>
      <c r="E264" s="143">
        <f>HLOOKUP("start",ESLData!F$1:F$9960,MATCH($A264,ESLData!$B$1:$B$9960,0))</f>
        <v>500</v>
      </c>
      <c r="G264" s="143">
        <f>HLOOKUP("start",ESLData!H$1:H$9960,MATCH($A264,ESLData!$B$1:$B$9960,0))</f>
        <v>765.59</v>
      </c>
      <c r="J264" s="156"/>
      <c r="K264" s="142" t="str">
        <f>IF(ISNA(HLOOKUP("start",ESLData!C$1:C$9960,MATCH($A264,ESLData!$B$1:$B$9960,0))),"",HLOOKUP("start",ESLData!C$1:C$9960,MATCH($A264,ESLData!$B$1:$B$9960,0)))</f>
        <v>Adaptive Daily Living Expenses</v>
      </c>
    </row>
    <row r="265" spans="1:11" ht="14.25" customHeight="1" x14ac:dyDescent="0.2">
      <c r="A265" s="144">
        <v>38012</v>
      </c>
      <c r="C265" s="143">
        <f>HLOOKUP("start",ESLData!E$1:E$9960,MATCH($A265,ESLData!$B$1:$B$9960,0))</f>
        <v>6860.59</v>
      </c>
      <c r="E265" s="143">
        <f>HLOOKUP("start",ESLData!F$1:F$9960,MATCH($A265,ESLData!$B$1:$B$9960,0))</f>
        <v>0</v>
      </c>
      <c r="G265" s="143">
        <f>HLOOKUP("start",ESLData!H$1:H$9960,MATCH($A265,ESLData!$B$1:$B$9960,0))</f>
        <v>0</v>
      </c>
      <c r="J265" s="156"/>
      <c r="K265" s="142" t="str">
        <f>IF(ISNA(HLOOKUP("start",ESLData!C$1:C$9960,MATCH($A265,ESLData!$B$1:$B$9960,0))),"",HLOOKUP("start",ESLData!C$1:C$9960,MATCH($A265,ESLData!$B$1:$B$9960,0)))</f>
        <v>Residential Whanau Hui</v>
      </c>
    </row>
    <row r="266" spans="1:11" ht="14.25" customHeight="1" x14ac:dyDescent="0.2">
      <c r="A266" s="144">
        <v>38020</v>
      </c>
      <c r="C266" s="143">
        <f>HLOOKUP("start",ESLData!E$1:E$9960,MATCH($A266,ESLData!$B$1:$B$9960,0))</f>
        <v>29967.47</v>
      </c>
      <c r="E266" s="143">
        <f>HLOOKUP("start",ESLData!F$1:F$9960,MATCH($A266,ESLData!$B$1:$B$9960,0))</f>
        <v>30000</v>
      </c>
      <c r="G266" s="143">
        <f>HLOOKUP("start",ESLData!H$1:H$9960,MATCH($A266,ESLData!$B$1:$B$9960,0))</f>
        <v>26766.48</v>
      </c>
      <c r="J266" s="156" t="s">
        <v>987</v>
      </c>
      <c r="K266" s="142" t="str">
        <f>IF(ISNA(HLOOKUP("start",ESLData!C$1:C$9960,MATCH($A266,ESLData!$B$1:$B$9960,0))),"",HLOOKUP("start",ESLData!C$1:C$9960,MATCH($A266,ESLData!$B$1:$B$9960,0)))</f>
        <v>Student Travel - Air</v>
      </c>
    </row>
    <row r="267" spans="1:11" ht="14.25" customHeight="1" x14ac:dyDescent="0.2">
      <c r="A267" s="144">
        <v>38030</v>
      </c>
      <c r="C267" s="143">
        <f>HLOOKUP("start",ESLData!E$1:E$9960,MATCH($A267,ESLData!$B$1:$B$9960,0))</f>
        <v>8012.69</v>
      </c>
      <c r="D267" s="148"/>
      <c r="E267" s="143">
        <f>HLOOKUP("start",ESLData!F$1:F$9960,MATCH($A267,ESLData!$B$1:$B$9960,0))</f>
        <v>1800</v>
      </c>
      <c r="F267" s="148"/>
      <c r="G267" s="143">
        <f>HLOOKUP("start",ESLData!H$1:H$9960,MATCH($A267,ESLData!$B$1:$B$9960,0))</f>
        <v>2208.63</v>
      </c>
      <c r="H267" s="148"/>
      <c r="J267" s="156" t="s">
        <v>987</v>
      </c>
      <c r="K267" s="142" t="str">
        <f>IF(ISNA(HLOOKUP("start",ESLData!C$1:C$9960,MATCH($A267,ESLData!$B$1:$B$9960,0))),"",HLOOKUP("start",ESLData!C$1:C$9960,MATCH($A267,ESLData!$B$1:$B$9960,0)))</f>
        <v>Student Travel - Taxis</v>
      </c>
    </row>
    <row r="268" spans="1:11" ht="14.25" customHeight="1" x14ac:dyDescent="0.2">
      <c r="A268" s="144">
        <v>38370</v>
      </c>
      <c r="C268" s="143">
        <f>HLOOKUP("start",ESLData!E$1:E$9960,MATCH($A268,ESLData!$B$1:$B$9960,0))</f>
        <v>0</v>
      </c>
      <c r="E268" s="143">
        <f>HLOOKUP("start",ESLData!F$1:F$9960,MATCH($A268,ESLData!$B$1:$B$9960,0))</f>
        <v>0</v>
      </c>
      <c r="G268" s="143">
        <f>HLOOKUP("start",ESLData!H$1:H$9960,MATCH($A268,ESLData!$B$1:$B$9960,0))</f>
        <v>5962.85</v>
      </c>
      <c r="J268" s="156" t="s">
        <v>987</v>
      </c>
      <c r="K268" s="142" t="str">
        <f>IF(ISNA(HLOOKUP("start",ESLData!C$1:C$9960,MATCH($A268,ESLData!$B$1:$B$9960,0))),"",HLOOKUP("start",ESLData!C$1:C$9960,MATCH($A268,ESLData!$B$1:$B$9960,0)))</f>
        <v>Transition Programmes</v>
      </c>
    </row>
    <row r="269" spans="1:11" ht="14.25" customHeight="1" x14ac:dyDescent="0.2">
      <c r="A269" s="144">
        <v>38938</v>
      </c>
      <c r="C269" s="143">
        <f>HLOOKUP("start",ESLData!E$1:E$9960,MATCH($A269,ESLData!$B$1:$B$9960,0))</f>
        <v>0</v>
      </c>
      <c r="E269" s="143">
        <f>HLOOKUP("start",ESLData!F$1:F$9960,MATCH($A269,ESLData!$B$1:$B$9960,0))</f>
        <v>0</v>
      </c>
      <c r="F269" s="165"/>
      <c r="G269" s="143">
        <f>HLOOKUP("start",ESLData!H$1:H$9960,MATCH($A269,ESLData!$B$1:$B$9960,0))</f>
        <v>156.09</v>
      </c>
      <c r="J269" s="156" t="s">
        <v>987</v>
      </c>
      <c r="K269" s="142" t="str">
        <f>IF(ISNA(HLOOKUP("start",ESLData!C$1:C$9960,MATCH($A269,ESLData!$B$1:$B$9960,0))),"",HLOOKUP("start",ESLData!C$1:C$9960,MATCH($A269,ESLData!$B$1:$B$9960,0)))</f>
        <v>Educational Resources</v>
      </c>
    </row>
    <row r="270" spans="1:11" ht="14.25" customHeight="1" x14ac:dyDescent="0.2">
      <c r="A270" s="144">
        <v>38945</v>
      </c>
      <c r="C270" s="143">
        <f>HLOOKUP("start",ESLData!E$1:E$9960,MATCH($A270,ESLData!$B$1:$B$9960,0))</f>
        <v>0</v>
      </c>
      <c r="E270" s="143">
        <f>HLOOKUP("start",ESLData!F$1:F$9960,MATCH($A270,ESLData!$B$1:$B$9960,0))</f>
        <v>0</v>
      </c>
      <c r="G270" s="143">
        <f>HLOOKUP("start",ESLData!H$1:H$9960,MATCH($A270,ESLData!$B$1:$B$9960,0))</f>
        <v>0</v>
      </c>
      <c r="J270" s="156" t="s">
        <v>987</v>
      </c>
      <c r="K270" s="142" t="str">
        <f>IF(ISNA(HLOOKUP("start",ESLData!C$1:C$9960,MATCH($A270,ESLData!$B$1:$B$9960,0))),"",HLOOKUP("start",ESLData!C$1:C$9960,MATCH($A270,ESLData!$B$1:$B$9960,0)))</f>
        <v>Hireage Of Facilities</v>
      </c>
    </row>
    <row r="271" spans="1:11" ht="14.25" customHeight="1" x14ac:dyDescent="0.2">
      <c r="A271" s="144">
        <v>38951</v>
      </c>
      <c r="C271" s="143">
        <f>HLOOKUP("start",ESLData!E$1:E$9960,MATCH($A271,ESLData!$B$1:$B$9960,0))</f>
        <v>0</v>
      </c>
      <c r="E271" s="143">
        <f>HLOOKUP("start",ESLData!F$1:F$9960,MATCH($A271,ESLData!$B$1:$B$9960,0))</f>
        <v>0</v>
      </c>
      <c r="F271" s="165"/>
      <c r="G271" s="143">
        <f>HLOOKUP("start",ESLData!H$1:H$9960,MATCH($A271,ESLData!$B$1:$B$9960,0))</f>
        <v>0</v>
      </c>
      <c r="J271" s="156" t="s">
        <v>987</v>
      </c>
      <c r="K271" s="142" t="str">
        <f>IF(ISNA(HLOOKUP("start",ESLData!C$1:C$9960,MATCH($A271,ESLData!$B$1:$B$9960,0))),"",HLOOKUP("start",ESLData!C$1:C$9960,MATCH($A271,ESLData!$B$1:$B$9960,0)))</f>
        <v>Emergency Course Funds</v>
      </c>
    </row>
    <row r="272" spans="1:11" ht="14.25" customHeight="1" x14ac:dyDescent="0.2">
      <c r="A272" s="144">
        <v>38954</v>
      </c>
      <c r="C272" s="143">
        <f>HLOOKUP("start",ESLData!E$1:E$9960,MATCH($A272,ESLData!$B$1:$B$9960,0))</f>
        <v>45.55</v>
      </c>
      <c r="E272" s="143">
        <f>HLOOKUP("start",ESLData!F$1:F$9960,MATCH($A272,ESLData!$B$1:$B$9960,0))</f>
        <v>0</v>
      </c>
      <c r="G272" s="143">
        <f>HLOOKUP("start",ESLData!H$1:H$9960,MATCH($A272,ESLData!$B$1:$B$9960,0))</f>
        <v>44.73</v>
      </c>
      <c r="J272" s="156" t="s">
        <v>987</v>
      </c>
      <c r="K272" s="142" t="str">
        <f>IF(ISNA(HLOOKUP("start",ESLData!C$1:C$9960,MATCH($A272,ESLData!$B$1:$B$9960,0))),"",HLOOKUP("start",ESLData!C$1:C$9960,MATCH($A272,ESLData!$B$1:$B$9960,0)))</f>
        <v>Child &amp; Fam (Blind Learners)</v>
      </c>
    </row>
    <row r="273" spans="1:11" s="150" customFormat="1" ht="14.25" customHeight="1" x14ac:dyDescent="0.2">
      <c r="A273" s="144">
        <v>38956</v>
      </c>
      <c r="B273" s="142"/>
      <c r="C273" s="143">
        <f>HLOOKUP("start",ESLData!E$1:E$9960,MATCH($A273,ESLData!$B$1:$B$9960,0))</f>
        <v>0</v>
      </c>
      <c r="D273" s="142"/>
      <c r="E273" s="143">
        <f>HLOOKUP("start",ESLData!F$1:F$9960,MATCH($A273,ESLData!$B$1:$B$9960,0))</f>
        <v>0</v>
      </c>
      <c r="F273" s="142"/>
      <c r="G273" s="143">
        <f>HLOOKUP("start",ESLData!H$1:H$9960,MATCH($A273,ESLData!$B$1:$B$9960,0))</f>
        <v>0</v>
      </c>
      <c r="H273" s="142"/>
      <c r="K273" s="142" t="str">
        <f>IF(ISNA(HLOOKUP("start",ESLData!C$1:C$9960,MATCH($A273,ESLData!$B$1:$B$9960,0))),"",HLOOKUP("start",ESLData!C$1:C$9960,MATCH($A273,ESLData!$B$1:$B$9960,0)))</f>
        <v>Junior Or Inter Musicianship</v>
      </c>
    </row>
    <row r="274" spans="1:11" ht="14.25" customHeight="1" x14ac:dyDescent="0.2">
      <c r="A274" s="144">
        <v>38952</v>
      </c>
      <c r="C274" s="143">
        <f>HLOOKUP("start",ESLData!E$1:E$9960,MATCH($A274,ESLData!$B$1:$B$9960,0))</f>
        <v>0</v>
      </c>
      <c r="E274" s="143">
        <f>HLOOKUP("start",ESLData!F$1:F$9960,MATCH($A274,ESLData!$B$1:$B$9960,0))</f>
        <v>0</v>
      </c>
      <c r="G274" s="143">
        <f>HLOOKUP("start",ESLData!H$1:H$9960,MATCH($A274,ESLData!$B$1:$B$9960,0))</f>
        <v>10.87</v>
      </c>
      <c r="J274" s="156" t="s">
        <v>987</v>
      </c>
      <c r="K274" s="142" t="str">
        <f>IF(ISNA(HLOOKUP("start",ESLData!C$1:C$9960,MATCH($A274,ESLData!$B$1:$B$9960,0))),"",HLOOKUP("start",ESLData!C$1:C$9960,MATCH($A274,ESLData!$B$1:$B$9960,0)))</f>
        <v>Child &amp; Family (Early Childhoo</v>
      </c>
    </row>
    <row r="275" spans="1:11" ht="14.25" customHeight="1" x14ac:dyDescent="0.2">
      <c r="A275" s="144">
        <v>38958</v>
      </c>
      <c r="C275" s="143">
        <f>HLOOKUP("start",ESLData!E$1:E$9960,MATCH($A275,ESLData!$B$1:$B$9960,0))</f>
        <v>0</v>
      </c>
      <c r="E275" s="143">
        <f>HLOOKUP("start",ESLData!F$1:F$9960,MATCH($A275,ESLData!$B$1:$B$9960,0))</f>
        <v>0</v>
      </c>
      <c r="F275" s="165"/>
      <c r="G275" s="143">
        <f>HLOOKUP("start",ESLData!H$1:H$9960,MATCH($A275,ESLData!$B$1:$B$9960,0))</f>
        <v>0</v>
      </c>
      <c r="J275" s="156" t="s">
        <v>987</v>
      </c>
      <c r="K275" s="142" t="str">
        <f>IF(ISNA(HLOOKUP("start",ESLData!C$1:C$9960,MATCH($A275,ESLData!$B$1:$B$9960,0))),"",HLOOKUP("start",ESLData!C$1:C$9960,MATCH($A275,ESLData!$B$1:$B$9960,0)))</f>
        <v>Contingency Course</v>
      </c>
    </row>
    <row r="276" spans="1:11" ht="14.25" customHeight="1" x14ac:dyDescent="0.2">
      <c r="A276" s="144">
        <v>38959</v>
      </c>
      <c r="C276" s="143">
        <f>HLOOKUP("start",ESLData!E$1:E$9960,MATCH($A276,ESLData!$B$1:$B$9960,0))</f>
        <v>0</v>
      </c>
      <c r="E276" s="143">
        <f>HLOOKUP("start",ESLData!F$1:F$9960,MATCH($A276,ESLData!$B$1:$B$9960,0))</f>
        <v>0</v>
      </c>
      <c r="G276" s="143">
        <f>HLOOKUP("start",ESLData!H$1:H$9960,MATCH($A276,ESLData!$B$1:$B$9960,0))</f>
        <v>0</v>
      </c>
      <c r="J276" s="156" t="s">
        <v>987</v>
      </c>
      <c r="K276" s="142" t="str">
        <f>IF(ISNA(HLOOKUP("start",ESLData!C$1:C$9960,MATCH($A276,ESLData!$B$1:$B$9960,0))),"",HLOOKUP("start",ESLData!C$1:C$9960,MATCH($A276,ESLData!$B$1:$B$9960,0)))</f>
        <v>Performing Arts</v>
      </c>
    </row>
    <row r="277" spans="1:11" ht="14.25" customHeight="1" x14ac:dyDescent="0.2">
      <c r="A277" s="144">
        <v>38966</v>
      </c>
      <c r="C277" s="143">
        <f>HLOOKUP("start",ESLData!E$1:E$9960,MATCH($A277,ESLData!$B$1:$B$9960,0))</f>
        <v>54748.800000000003</v>
      </c>
      <c r="E277" s="143">
        <f>HLOOKUP("start",ESLData!F$1:F$9960,MATCH($A277,ESLData!$B$1:$B$9960,0))</f>
        <v>33000</v>
      </c>
      <c r="G277" s="143">
        <f>HLOOKUP("start",ESLData!H$1:H$9960,MATCH($A277,ESLData!$B$1:$B$9960,0))</f>
        <v>5699.59</v>
      </c>
      <c r="J277" s="156" t="s">
        <v>987</v>
      </c>
      <c r="K277" s="142" t="str">
        <f>IF(ISNA(HLOOKUP("start",ESLData!C$1:C$9960,MATCH($A277,ESLData!$B$1:$B$9960,0))),"",HLOOKUP("start",ESLData!C$1:C$9960,MATCH($A277,ESLData!$B$1:$B$9960,0)))</f>
        <v>Term 1</v>
      </c>
    </row>
    <row r="278" spans="1:11" ht="14.25" customHeight="1" x14ac:dyDescent="0.2">
      <c r="A278" s="144">
        <v>38967</v>
      </c>
      <c r="C278" s="143">
        <f>HLOOKUP("start",ESLData!E$1:E$9960,MATCH($A278,ESLData!$B$1:$B$9960,0))</f>
        <v>34514.32</v>
      </c>
      <c r="E278" s="143">
        <f>HLOOKUP("start",ESLData!F$1:F$9960,MATCH($A278,ESLData!$B$1:$B$9960,0))</f>
        <v>33000</v>
      </c>
      <c r="G278" s="143">
        <f>HLOOKUP("start",ESLData!H$1:H$9960,MATCH($A278,ESLData!$B$1:$B$9960,0))</f>
        <v>35222.33</v>
      </c>
      <c r="J278" s="156" t="s">
        <v>987</v>
      </c>
      <c r="K278" s="142" t="str">
        <f>IF(ISNA(HLOOKUP("start",ESLData!C$1:C$9960,MATCH($A278,ESLData!$B$1:$B$9960,0))),"",HLOOKUP("start",ESLData!C$1:C$9960,MATCH($A278,ESLData!$B$1:$B$9960,0)))</f>
        <v>Term 2</v>
      </c>
    </row>
    <row r="279" spans="1:11" ht="14.25" customHeight="1" x14ac:dyDescent="0.2">
      <c r="A279" s="144">
        <v>38974</v>
      </c>
      <c r="C279" s="143">
        <f>HLOOKUP("start",ESLData!E$1:E$9960,MATCH($A279,ESLData!$B$1:$B$9960,0))</f>
        <v>25916.71</v>
      </c>
      <c r="E279" s="143">
        <f>HLOOKUP("start",ESLData!F$1:F$9960,MATCH($A279,ESLData!$B$1:$B$9960,0))</f>
        <v>33000</v>
      </c>
      <c r="G279" s="143">
        <f>HLOOKUP("start",ESLData!H$1:H$9960,MATCH($A279,ESLData!$B$1:$B$9960,0))</f>
        <v>35679.879999999997</v>
      </c>
      <c r="J279" s="156" t="s">
        <v>987</v>
      </c>
      <c r="K279" s="142" t="str">
        <f>IF(ISNA(HLOOKUP("start",ESLData!C$1:C$9960,MATCH($A279,ESLData!$B$1:$B$9960,0))),"",HLOOKUP("start",ESLData!C$1:C$9960,MATCH($A279,ESLData!$B$1:$B$9960,0)))</f>
        <v>Term 3</v>
      </c>
    </row>
    <row r="280" spans="1:11" ht="14.25" customHeight="1" x14ac:dyDescent="0.2">
      <c r="A280" s="144">
        <v>38975</v>
      </c>
      <c r="C280" s="143">
        <f>HLOOKUP("start",ESLData!E$1:E$9960,MATCH($A280,ESLData!$B$1:$B$9960,0))</f>
        <v>0</v>
      </c>
      <c r="E280" s="143">
        <f>HLOOKUP("start",ESLData!F$1:F$9960,MATCH($A280,ESLData!$B$1:$B$9960,0))</f>
        <v>0</v>
      </c>
      <c r="G280" s="143">
        <f>HLOOKUP("start",ESLData!H$1:H$9960,MATCH($A280,ESLData!$B$1:$B$9960,0))</f>
        <v>0</v>
      </c>
      <c r="I280" s="152" t="s">
        <v>985</v>
      </c>
      <c r="K280" s="142" t="str">
        <f>IF(ISNA(HLOOKUP("start",ESLData!C$1:C$9960,MATCH($A280,ESLData!$B$1:$B$9960,0))),"",HLOOKUP("start",ESLData!C$1:C$9960,MATCH($A280,ESLData!$B$1:$B$9960,0)))</f>
        <v>Recent Vision Loss</v>
      </c>
    </row>
    <row r="281" spans="1:11" ht="14.25" customHeight="1" x14ac:dyDescent="0.2">
      <c r="A281" s="144">
        <v>38976</v>
      </c>
      <c r="C281" s="143">
        <f>HLOOKUP("start",ESLData!E$1:E$9960,MATCH($A281,ESLData!$B$1:$B$9960,0))</f>
        <v>36379.589999999997</v>
      </c>
      <c r="E281" s="143">
        <f>HLOOKUP("start",ESLData!F$1:F$9960,MATCH($A281,ESLData!$B$1:$B$9960,0))</f>
        <v>33000</v>
      </c>
      <c r="G281" s="143">
        <f>HLOOKUP("start",ESLData!H$1:H$9960,MATCH($A281,ESLData!$B$1:$B$9960,0))</f>
        <v>46822.34</v>
      </c>
      <c r="I281" s="152"/>
      <c r="J281" s="156" t="s">
        <v>987</v>
      </c>
      <c r="K281" s="142" t="str">
        <f>IF(ISNA(HLOOKUP("start",ESLData!C$1:C$9960,MATCH($A281,ESLData!$B$1:$B$9960,0))),"",HLOOKUP("start",ESLData!C$1:C$9960,MATCH($A281,ESLData!$B$1:$B$9960,0)))</f>
        <v>Term 4</v>
      </c>
    </row>
    <row r="282" spans="1:11" ht="14.25" customHeight="1" x14ac:dyDescent="0.2">
      <c r="A282" s="144">
        <v>38977</v>
      </c>
      <c r="C282" s="143">
        <f>HLOOKUP("start",ESLData!E$1:E$9960,MATCH($A282,ESLData!$B$1:$B$9960,0))</f>
        <v>0</v>
      </c>
      <c r="E282" s="143">
        <f>HLOOKUP("start",ESLData!F$1:F$9960,MATCH($A282,ESLData!$B$1:$B$9960,0))</f>
        <v>0</v>
      </c>
      <c r="G282" s="143">
        <f>HLOOKUP("start",ESLData!H$1:H$9960,MATCH($A282,ESLData!$B$1:$B$9960,0))</f>
        <v>0</v>
      </c>
      <c r="I282" s="152" t="s">
        <v>985</v>
      </c>
      <c r="K282" s="142" t="str">
        <f>IF(ISNA(HLOOKUP("start",ESLData!C$1:C$9960,MATCH($A282,ESLData!$B$1:$B$9960,0))),"",HLOOKUP("start",ESLData!C$1:C$9960,MATCH($A282,ESLData!$B$1:$B$9960,0)))</f>
        <v>Technology For Music Comp</v>
      </c>
    </row>
    <row r="283" spans="1:11" ht="14.25" customHeight="1" x14ac:dyDescent="0.2">
      <c r="A283" s="144">
        <v>38978</v>
      </c>
      <c r="C283" s="143">
        <f>HLOOKUP("start",ESLData!E$1:E$9960,MATCH($A283,ESLData!$B$1:$B$9960,0))</f>
        <v>0</v>
      </c>
      <c r="E283" s="143">
        <f>HLOOKUP("start",ESLData!F$1:F$9960,MATCH($A283,ESLData!$B$1:$B$9960,0))</f>
        <v>0</v>
      </c>
      <c r="G283" s="143">
        <f>HLOOKUP("start",ESLData!H$1:H$9960,MATCH($A283,ESLData!$B$1:$B$9960,0))</f>
        <v>0</v>
      </c>
      <c r="I283" s="152"/>
      <c r="J283" s="156" t="s">
        <v>987</v>
      </c>
      <c r="K283" s="142" t="str">
        <f>IF(ISNA(HLOOKUP("start",ESLData!C$1:C$9960,MATCH($A283,ESLData!$B$1:$B$9960,0))),"",HLOOKUP("start",ESLData!C$1:C$9960,MATCH($A283,ESLData!$B$1:$B$9960,0)))</f>
        <v>Low Vision Year 13+</v>
      </c>
    </row>
    <row r="284" spans="1:11" ht="14.25" customHeight="1" x14ac:dyDescent="0.2">
      <c r="A284" s="144">
        <v>38989</v>
      </c>
      <c r="C284" s="143">
        <f>HLOOKUP("start",ESLData!E$1:E$9960,MATCH($A284,ESLData!$B$1:$B$9960,0))</f>
        <v>0</v>
      </c>
      <c r="E284" s="143">
        <f>HLOOKUP("start",ESLData!F$1:F$9960,MATCH($A284,ESLData!$B$1:$B$9960,0))</f>
        <v>0</v>
      </c>
      <c r="G284" s="143">
        <f>HLOOKUP("start",ESLData!H$1:H$9960,MATCH($A284,ESLData!$B$1:$B$9960,0))</f>
        <v>99.8</v>
      </c>
      <c r="I284" s="152"/>
      <c r="J284" s="156" t="s">
        <v>987</v>
      </c>
      <c r="K284" s="142" t="str">
        <f>IF(ISNA(HLOOKUP("start",ESLData!C$1:C$9960,MATCH($A284,ESLData!$B$1:$B$9960,0))),"",HLOOKUP("start",ESLData!C$1:C$9960,MATCH($A284,ESLData!$B$1:$B$9960,0)))</f>
        <v>Braille Learners 9-12 Yrs</v>
      </c>
    </row>
    <row r="285" spans="1:11" ht="14.25" customHeight="1" x14ac:dyDescent="0.2">
      <c r="A285" s="144">
        <v>38990</v>
      </c>
      <c r="C285" s="143">
        <f>HLOOKUP("start",ESLData!E$1:E$9960,MATCH($A285,ESLData!$B$1:$B$9960,0))</f>
        <v>0</v>
      </c>
      <c r="E285" s="143">
        <f>HLOOKUP("start",ESLData!F$1:F$9960,MATCH($A285,ESLData!$B$1:$B$9960,0))</f>
        <v>0</v>
      </c>
      <c r="G285" s="143">
        <f>HLOOKUP("start",ESLData!H$1:H$9960,MATCH($A285,ESLData!$B$1:$B$9960,0))</f>
        <v>0</v>
      </c>
      <c r="I285" s="152"/>
      <c r="J285" s="156" t="s">
        <v>987</v>
      </c>
      <c r="K285" s="142" t="str">
        <f>IF(ISNA(HLOOKUP("start",ESLData!C$1:C$9960,MATCH($A285,ESLData!$B$1:$B$9960,0))),"",HLOOKUP("start",ESLData!C$1:C$9960,MATCH($A285,ESLData!$B$1:$B$9960,0)))</f>
        <v>Braille Learners - Life Skills</v>
      </c>
    </row>
    <row r="286" spans="1:11" ht="14.25" customHeight="1" x14ac:dyDescent="0.2">
      <c r="A286" s="144">
        <v>38995</v>
      </c>
      <c r="C286" s="143">
        <f>HLOOKUP("start",ESLData!E$1:E$9960,MATCH($A286,ESLData!$B$1:$B$9960,0))</f>
        <v>0</v>
      </c>
      <c r="E286" s="143">
        <f>HLOOKUP("start",ESLData!F$1:F$9960,MATCH($A286,ESLData!$B$1:$B$9960,0))</f>
        <v>0</v>
      </c>
      <c r="G286" s="143">
        <f>HLOOKUP("start",ESLData!H$1:H$9960,MATCH($A286,ESLData!$B$1:$B$9960,0))</f>
        <v>0</v>
      </c>
      <c r="I286" s="152" t="s">
        <v>985</v>
      </c>
      <c r="K286" s="142" t="str">
        <f>IF(ISNA(HLOOKUP("start",ESLData!C$1:C$9960,MATCH($A286,ESLData!$B$1:$B$9960,0))),"",HLOOKUP("start",ESLData!C$1:C$9960,MATCH($A286,ESLData!$B$1:$B$9960,0)))</f>
        <v>Physical Education L/Vision</v>
      </c>
    </row>
    <row r="287" spans="1:11" ht="14.25" customHeight="1" x14ac:dyDescent="0.2">
      <c r="A287" s="144">
        <v>38997</v>
      </c>
      <c r="C287" s="143">
        <f>HLOOKUP("start",ESLData!E$1:E$9960,MATCH($A287,ESLData!$B$1:$B$9960,0))</f>
        <v>0</v>
      </c>
      <c r="E287" s="143">
        <f>HLOOKUP("start",ESLData!F$1:F$9960,MATCH($A287,ESLData!$B$1:$B$9960,0))</f>
        <v>0</v>
      </c>
      <c r="F287" s="165"/>
      <c r="G287" s="143">
        <f>HLOOKUP("start",ESLData!H$1:H$9960,MATCH($A287,ESLData!$B$1:$B$9960,0))</f>
        <v>1090.55</v>
      </c>
      <c r="J287" s="156" t="s">
        <v>987</v>
      </c>
      <c r="K287" s="142" t="str">
        <f>IF(ISNA(HLOOKUP("start",ESLData!C$1:C$9960,MATCH($A287,ESLData!$B$1:$B$9960,0))),"",HLOOKUP("start",ESLData!C$1:C$9960,MATCH($A287,ESLData!$B$1:$B$9960,0)))</f>
        <v>Pre Course Planning</v>
      </c>
    </row>
    <row r="288" spans="1:11" ht="14.25" customHeight="1" x14ac:dyDescent="0.2">
      <c r="A288" s="144">
        <v>38998</v>
      </c>
      <c r="C288" s="143">
        <f>HLOOKUP("start",ESLData!E$1:E$9960,MATCH($A288,ESLData!$B$1:$B$9960,0))</f>
        <v>0</v>
      </c>
      <c r="E288" s="143">
        <f>HLOOKUP("start",ESLData!F$1:F$9960,MATCH($A288,ESLData!$B$1:$B$9960,0))</f>
        <v>0</v>
      </c>
      <c r="G288" s="143">
        <f>HLOOKUP("start",ESLData!H$1:H$9960,MATCH($A288,ESLData!$B$1:$B$9960,0))</f>
        <v>438.02</v>
      </c>
      <c r="J288" s="156" t="s">
        <v>987</v>
      </c>
      <c r="K288" s="142" t="str">
        <f>IF(ISNA(HLOOKUP("start",ESLData!C$1:C$9960,MATCH($A288,ESLData!$B$1:$B$9960,0))),"",HLOOKUP("start",ESLData!C$1:C$9960,MATCH($A288,ESLData!$B$1:$B$9960,0)))</f>
        <v>Transition Courses</v>
      </c>
    </row>
    <row r="289" spans="1:11" ht="14.25" customHeight="1" x14ac:dyDescent="0.2">
      <c r="A289" s="144">
        <v>38993</v>
      </c>
      <c r="C289" s="143">
        <f>HLOOKUP("start",ESLData!E$1:E$9960,MATCH($A289,ESLData!$B$1:$B$9960,0))</f>
        <v>0</v>
      </c>
      <c r="E289" s="143">
        <f>HLOOKUP("start",ESLData!F$1:F$9960,MATCH($A289,ESLData!$B$1:$B$9960,0))</f>
        <v>0</v>
      </c>
      <c r="G289" s="143">
        <f>HLOOKUP("start",ESLData!H$1:H$9960,MATCH($A289,ESLData!$B$1:$B$9960,0))</f>
        <v>0</v>
      </c>
      <c r="I289" s="146"/>
      <c r="J289" s="156" t="s">
        <v>987</v>
      </c>
      <c r="K289" s="142" t="str">
        <f>IF(ISNA(HLOOKUP("start",ESLData!C$1:C$9960,MATCH($A289,ESLData!$B$1:$B$9960,0))),"",HLOOKUP("start",ESLData!C$1:C$9960,MATCH($A289,ESLData!$B$1:$B$9960,0)))</f>
        <v>Literacy Jnr Br Or Duel Print</v>
      </c>
    </row>
    <row r="290" spans="1:11" ht="14.25" customHeight="1" x14ac:dyDescent="0.2">
      <c r="A290" s="144">
        <v>38992</v>
      </c>
      <c r="C290" s="143">
        <f>HLOOKUP("start",ESLData!E$1:E$9960,MATCH($A290,ESLData!$B$1:$B$9960,0))</f>
        <v>227.46</v>
      </c>
      <c r="E290" s="143">
        <f>HLOOKUP("start",ESLData!F$1:F$9960,MATCH($A290,ESLData!$B$1:$B$9960,0))</f>
        <v>0</v>
      </c>
      <c r="G290" s="143">
        <f>HLOOKUP("start",ESLData!H$1:H$9960,MATCH($A290,ESLData!$B$1:$B$9960,0))</f>
        <v>694.96</v>
      </c>
      <c r="J290" s="156" t="s">
        <v>987</v>
      </c>
      <c r="K290" s="142" t="str">
        <f>IF(ISNA(HLOOKUP("start",ESLData!C$1:C$9960,MATCH($A290,ESLData!$B$1:$B$9960,0))),"",HLOOKUP("start",ESLData!C$1:C$9960,MATCH($A290,ESLData!$B$1:$B$9960,0)))</f>
        <v>IEP Immersion</v>
      </c>
    </row>
    <row r="291" spans="1:11" ht="14.25" customHeight="1" x14ac:dyDescent="0.2">
      <c r="A291" s="144">
        <v>38040</v>
      </c>
      <c r="C291" s="143">
        <f>HLOOKUP("start",ESLData!E$1:E$9960,MATCH($A291,ESLData!$B$1:$B$9960,0))</f>
        <v>0</v>
      </c>
      <c r="E291" s="143">
        <f>HLOOKUP("start",ESLData!F$1:F$9960,MATCH($A291,ESLData!$B$1:$B$9960,0))</f>
        <v>0</v>
      </c>
      <c r="G291" s="143">
        <f>HLOOKUP("start",ESLData!H$1:H$9960,MATCH($A291,ESLData!$B$1:$B$9960,0))</f>
        <v>0</v>
      </c>
      <c r="J291" s="156" t="s">
        <v>987</v>
      </c>
      <c r="K291" s="142" t="str">
        <f>IF(ISNA(HLOOKUP("start",ESLData!C$1:C$9960,MATCH($A291,ESLData!$B$1:$B$9960,0))),"",HLOOKUP("start",ESLData!C$1:C$9960,MATCH($A291,ESLData!$B$1:$B$9960,0)))</f>
        <v>Medical Fees</v>
      </c>
    </row>
    <row r="292" spans="1:11" ht="14.25" customHeight="1" x14ac:dyDescent="0.2">
      <c r="A292" s="144">
        <v>38095</v>
      </c>
      <c r="C292" s="143">
        <f>HLOOKUP("start",ESLData!E$1:E$9960,MATCH($A292,ESLData!$B$1:$B$9960,0))</f>
        <v>10033.969999999999</v>
      </c>
      <c r="E292" s="143">
        <f>HLOOKUP("start",ESLData!F$1:F$9960,MATCH($A292,ESLData!$B$1:$B$9960,0))</f>
        <v>8800</v>
      </c>
      <c r="G292" s="143">
        <f>HLOOKUP("start",ESLData!H$1:H$9960,MATCH($A292,ESLData!$B$1:$B$9960,0))</f>
        <v>4561.03</v>
      </c>
      <c r="J292" s="156" t="s">
        <v>987</v>
      </c>
      <c r="K292" s="142" t="str">
        <f>IF(ISNA(HLOOKUP("start",ESLData!C$1:C$9960,MATCH($A292,ESLData!$B$1:$B$9960,0))),"",HLOOKUP("start",ESLData!C$1:C$9960,MATCH($A292,ESLData!$B$1:$B$9960,0)))</f>
        <v>Software Expenses</v>
      </c>
    </row>
    <row r="293" spans="1:11" ht="14.25" customHeight="1" x14ac:dyDescent="0.2">
      <c r="A293" s="144">
        <v>38080</v>
      </c>
      <c r="C293" s="143">
        <f>HLOOKUP("start",ESLData!E$1:E$9960,MATCH($A293,ESLData!$B$1:$B$9960,0))</f>
        <v>3613.87</v>
      </c>
      <c r="E293" s="143">
        <f>HLOOKUP("start",ESLData!F$1:F$9960,MATCH($A293,ESLData!$B$1:$B$9960,0))</f>
        <v>4400</v>
      </c>
      <c r="G293" s="143">
        <f>HLOOKUP("start",ESLData!H$1:H$9960,MATCH($A293,ESLData!$B$1:$B$9960,0))</f>
        <v>2539.0500000000002</v>
      </c>
      <c r="J293" s="156" t="s">
        <v>987</v>
      </c>
      <c r="K293" s="142" t="str">
        <f>IF(ISNA(HLOOKUP("start",ESLData!C$1:C$9960,MATCH($A293,ESLData!$B$1:$B$9960,0))),"",HLOOKUP("start",ESLData!C$1:C$9960,MATCH($A293,ESLData!$B$1:$B$9960,0)))</f>
        <v>Counselling Contract</v>
      </c>
    </row>
    <row r="294" spans="1:11" ht="14.25" customHeight="1" x14ac:dyDescent="0.2">
      <c r="A294" s="144">
        <v>38300</v>
      </c>
      <c r="C294" s="143">
        <f>HLOOKUP("start",ESLData!E$1:E$9960,MATCH($A294,ESLData!$B$1:$B$9960,0))</f>
        <v>187</v>
      </c>
      <c r="E294" s="143">
        <f>HLOOKUP("start",ESLData!F$1:F$9960,MATCH($A294,ESLData!$B$1:$B$9960,0))</f>
        <v>0</v>
      </c>
      <c r="G294" s="143">
        <f>HLOOKUP("start",ESLData!H$1:H$9960,MATCH($A294,ESLData!$B$1:$B$9960,0))</f>
        <v>138.30000000000001</v>
      </c>
      <c r="J294" s="156" t="s">
        <v>987</v>
      </c>
      <c r="K294" s="142" t="str">
        <f>IF(ISNA(HLOOKUP("start",ESLData!C$1:C$9960,MATCH($A294,ESLData!$B$1:$B$9960,0))),"",HLOOKUP("start",ESLData!C$1:C$9960,MATCH($A294,ESLData!$B$1:$B$9960,0)))</f>
        <v>Consumables</v>
      </c>
    </row>
    <row r="295" spans="1:11" ht="14.25" customHeight="1" x14ac:dyDescent="0.2">
      <c r="A295" s="144">
        <v>38310</v>
      </c>
      <c r="C295" s="143">
        <f>HLOOKUP("start",ESLData!E$1:E$9960,MATCH($A295,ESLData!$B$1:$B$9960,0))</f>
        <v>0</v>
      </c>
      <c r="E295" s="143">
        <f>HLOOKUP("start",ESLData!F$1:F$9960,MATCH($A295,ESLData!$B$1:$B$9960,0))</f>
        <v>0</v>
      </c>
      <c r="G295" s="143">
        <f>HLOOKUP("start",ESLData!H$1:H$9960,MATCH($A295,ESLData!$B$1:$B$9960,0))</f>
        <v>0</v>
      </c>
      <c r="J295" s="156" t="s">
        <v>987</v>
      </c>
      <c r="K295" s="142" t="str">
        <f>IF(ISNA(HLOOKUP("start",ESLData!C$1:C$9960,MATCH($A295,ESLData!$B$1:$B$9960,0))),"",HLOOKUP("start",ESLData!C$1:C$9960,MATCH($A295,ESLData!$B$1:$B$9960,0)))</f>
        <v>Photocopying</v>
      </c>
    </row>
    <row r="296" spans="1:11" ht="14.25" customHeight="1" x14ac:dyDescent="0.2">
      <c r="A296" s="144">
        <v>38350</v>
      </c>
      <c r="C296" s="143">
        <f>HLOOKUP("start",ESLData!E$1:E$9960,MATCH($A296,ESLData!$B$1:$B$9960,0))</f>
        <v>0</v>
      </c>
      <c r="D296" s="148"/>
      <c r="E296" s="143">
        <f>HLOOKUP("start",ESLData!F$1:F$9960,MATCH($A296,ESLData!$B$1:$B$9960,0))</f>
        <v>0</v>
      </c>
      <c r="F296" s="148"/>
      <c r="G296" s="143">
        <f>HLOOKUP("start",ESLData!H$1:H$9960,MATCH($A296,ESLData!$B$1:$B$9960,0))</f>
        <v>0</v>
      </c>
      <c r="H296" s="148"/>
      <c r="J296" s="156" t="s">
        <v>987</v>
      </c>
      <c r="K296" s="142" t="str">
        <f>IF(ISNA(HLOOKUP("start",ESLData!C$1:C$9960,MATCH($A296,ESLData!$B$1:$B$9960,0))),"",HLOOKUP("start",ESLData!C$1:C$9960,MATCH($A296,ESLData!$B$1:$B$9960,0)))</f>
        <v>Telephone/Tolls/Fax</v>
      </c>
    </row>
    <row r="297" spans="1:11" ht="14.25" customHeight="1" x14ac:dyDescent="0.2">
      <c r="A297" s="144">
        <v>38390</v>
      </c>
      <c r="C297" s="143">
        <f>HLOOKUP("start",ESLData!E$1:E$9960,MATCH($A297,ESLData!$B$1:$B$9960,0))</f>
        <v>0</v>
      </c>
      <c r="D297" s="148"/>
      <c r="E297" s="143">
        <f>HLOOKUP("start",ESLData!F$1:F$9960,MATCH($A297,ESLData!$B$1:$B$9960,0))</f>
        <v>0</v>
      </c>
      <c r="F297" s="148"/>
      <c r="G297" s="143">
        <f>HLOOKUP("start",ESLData!H$1:H$9960,MATCH($A297,ESLData!$B$1:$B$9960,0))</f>
        <v>0</v>
      </c>
      <c r="H297" s="148"/>
      <c r="J297" s="156" t="s">
        <v>987</v>
      </c>
      <c r="K297" s="142" t="str">
        <f>IF(ISNA(HLOOKUP("start",ESLData!C$1:C$9960,MATCH($A297,ESLData!$B$1:$B$9960,0))),"",HLOOKUP("start",ESLData!C$1:C$9960,MATCH($A297,ESLData!$B$1:$B$9960,0)))</f>
        <v>Stationery</v>
      </c>
    </row>
    <row r="298" spans="1:11" ht="14.25" customHeight="1" x14ac:dyDescent="0.2">
      <c r="A298" s="144">
        <v>38400</v>
      </c>
      <c r="C298" s="143">
        <f>HLOOKUP("start",ESLData!E$1:E$9960,MATCH($A298,ESLData!$B$1:$B$9960,0))</f>
        <v>108065.23</v>
      </c>
      <c r="E298" s="143">
        <f>HLOOKUP("start",ESLData!F$1:F$9960,MATCH($A298,ESLData!$B$1:$B$9960,0))</f>
        <v>80000</v>
      </c>
      <c r="G298" s="143">
        <f>HLOOKUP("start",ESLData!H$1:H$9960,MATCH($A298,ESLData!$B$1:$B$9960,0))</f>
        <v>78261.460000000006</v>
      </c>
      <c r="J298" s="156" t="s">
        <v>987</v>
      </c>
      <c r="K298" s="142" t="str">
        <f>IF(ISNA(HLOOKUP("start",ESLData!C$1:C$9960,MATCH($A298,ESLData!$B$1:$B$9960,0))),"",HLOOKUP("start",ESLData!C$1:C$9960,MATCH($A298,ESLData!$B$1:$B$9960,0)))</f>
        <v>Food</v>
      </c>
    </row>
    <row r="299" spans="1:11" ht="14.25" customHeight="1" x14ac:dyDescent="0.2">
      <c r="A299" s="144">
        <v>38410</v>
      </c>
      <c r="C299" s="143">
        <f>HLOOKUP("start",ESLData!E$1:E$9960,MATCH($A299,ESLData!$B$1:$B$9960,0))</f>
        <v>702.64</v>
      </c>
      <c r="E299" s="143">
        <f>HLOOKUP("start",ESLData!F$1:F$9960,MATCH($A299,ESLData!$B$1:$B$9960,0))</f>
        <v>500</v>
      </c>
      <c r="G299" s="143">
        <f>HLOOKUP("start",ESLData!H$1:H$9960,MATCH($A299,ESLData!$B$1:$B$9960,0))</f>
        <v>777.63</v>
      </c>
      <c r="J299" s="156" t="s">
        <v>987</v>
      </c>
      <c r="K299" s="142" t="str">
        <f>IF(ISNA(HLOOKUP("start",ESLData!C$1:C$9960,MATCH($A299,ESLData!$B$1:$B$9960,0))),"",HLOOKUP("start",ESLData!C$1:C$9960,MATCH($A299,ESLData!$B$1:$B$9960,0)))</f>
        <v>Consumables</v>
      </c>
    </row>
    <row r="300" spans="1:11" ht="14.25" customHeight="1" x14ac:dyDescent="0.2">
      <c r="A300" s="144">
        <v>38600</v>
      </c>
      <c r="C300" s="143">
        <f>HLOOKUP("start",ESLData!E$1:E$9960,MATCH($A300,ESLData!$B$1:$B$9960,0))</f>
        <v>6000</v>
      </c>
      <c r="E300" s="143">
        <f>HLOOKUP("start",ESLData!F$1:F$9960,MATCH($A300,ESLData!$B$1:$B$9960,0))</f>
        <v>6000</v>
      </c>
      <c r="F300" s="165"/>
      <c r="G300" s="143">
        <f>HLOOKUP("start",ESLData!H$1:H$9960,MATCH($A300,ESLData!$B$1:$B$9960,0))</f>
        <v>5260</v>
      </c>
      <c r="J300" s="156" t="s">
        <v>987</v>
      </c>
      <c r="K300" s="142" t="str">
        <f>IF(ISNA(HLOOKUP("start",ESLData!C$1:C$9960,MATCH($A300,ESLData!$B$1:$B$9960,0))),"",HLOOKUP("start",ESLData!C$1:C$9960,MATCH($A300,ESLData!$B$1:$B$9960,0)))</f>
        <v>Vehicle Lease</v>
      </c>
    </row>
    <row r="301" spans="1:11" ht="14.25" customHeight="1" x14ac:dyDescent="0.2">
      <c r="A301" s="144">
        <v>38610</v>
      </c>
      <c r="C301" s="143">
        <f>HLOOKUP("start",ESLData!E$1:E$9960,MATCH($A301,ESLData!$B$1:$B$9960,0))</f>
        <v>3940.13</v>
      </c>
      <c r="E301" s="143">
        <f>HLOOKUP("start",ESLData!F$1:F$9960,MATCH($A301,ESLData!$B$1:$B$9960,0))</f>
        <v>3800</v>
      </c>
      <c r="G301" s="143">
        <f>HLOOKUP("start",ESLData!H$1:H$9960,MATCH($A301,ESLData!$B$1:$B$9960,0))</f>
        <v>2125</v>
      </c>
      <c r="J301" s="156" t="s">
        <v>987</v>
      </c>
      <c r="K301" s="142" t="str">
        <f>IF(ISNA(HLOOKUP("start",ESLData!C$1:C$9960,MATCH($A301,ESLData!$B$1:$B$9960,0))),"",HLOOKUP("start",ESLData!C$1:C$9960,MATCH($A301,ESLData!$B$1:$B$9960,0)))</f>
        <v>Vehicle Insurance</v>
      </c>
    </row>
    <row r="302" spans="1:11" ht="14.25" customHeight="1" x14ac:dyDescent="0.2">
      <c r="A302" s="144">
        <v>38620</v>
      </c>
      <c r="C302" s="143">
        <f>HLOOKUP("start",ESLData!E$1:E$9960,MATCH($A302,ESLData!$B$1:$B$9960,0))</f>
        <v>1563.14</v>
      </c>
      <c r="E302" s="143">
        <f>HLOOKUP("start",ESLData!F$1:F$9960,MATCH($A302,ESLData!$B$1:$B$9960,0))</f>
        <v>1800</v>
      </c>
      <c r="G302" s="143">
        <f>HLOOKUP("start",ESLData!H$1:H$9960,MATCH($A302,ESLData!$B$1:$B$9960,0))</f>
        <v>1696.5</v>
      </c>
      <c r="J302" s="156" t="s">
        <v>987</v>
      </c>
      <c r="K302" s="142" t="str">
        <f>IF(ISNA(HLOOKUP("start",ESLData!C$1:C$9960,MATCH($A302,ESLData!$B$1:$B$9960,0))),"",HLOOKUP("start",ESLData!C$1:C$9960,MATCH($A302,ESLData!$B$1:$B$9960,0)))</f>
        <v>Petrol</v>
      </c>
    </row>
    <row r="303" spans="1:11" ht="14.25" customHeight="1" x14ac:dyDescent="0.2">
      <c r="A303" s="144">
        <v>38630</v>
      </c>
      <c r="C303" s="143">
        <f>HLOOKUP("start",ESLData!E$1:E$9960,MATCH($A303,ESLData!$B$1:$B$9960,0))</f>
        <v>0</v>
      </c>
      <c r="E303" s="143">
        <f>HLOOKUP("start",ESLData!F$1:F$9960,MATCH($A303,ESLData!$B$1:$B$9960,0))</f>
        <v>480</v>
      </c>
      <c r="G303" s="143">
        <f>HLOOKUP("start",ESLData!H$1:H$9960,MATCH($A303,ESLData!$B$1:$B$9960,0))</f>
        <v>217.39</v>
      </c>
      <c r="J303" s="156" t="s">
        <v>987</v>
      </c>
      <c r="K303" s="142" t="str">
        <f>IF(ISNA(HLOOKUP("start",ESLData!C$1:C$9960,MATCH($A303,ESLData!$B$1:$B$9960,0))),"",HLOOKUP("start",ESLData!C$1:C$9960,MATCH($A303,ESLData!$B$1:$B$9960,0)))</f>
        <v>Vehicle Registration</v>
      </c>
    </row>
    <row r="304" spans="1:11" ht="14.25" customHeight="1" x14ac:dyDescent="0.2">
      <c r="A304" s="144">
        <v>38934</v>
      </c>
      <c r="C304" s="143">
        <f>HLOOKUP("start",ESLData!E$1:E$9960,MATCH($A304,ESLData!$B$1:$B$9960,0))</f>
        <v>780.89</v>
      </c>
      <c r="E304" s="143">
        <f>HLOOKUP("start",ESLData!F$1:F$9960,MATCH($A304,ESLData!$B$1:$B$9960,0))</f>
        <v>650</v>
      </c>
      <c r="G304" s="143">
        <f>HLOOKUP("start",ESLData!H$1:H$9960,MATCH($A304,ESLData!$B$1:$B$9960,0))</f>
        <v>27.9</v>
      </c>
      <c r="J304" s="156" t="s">
        <v>987</v>
      </c>
      <c r="K304" s="142" t="str">
        <f>IF(ISNA(HLOOKUP("start",ESLData!C$1:C$9960,MATCH($A304,ESLData!$B$1:$B$9960,0))),"",HLOOKUP("start",ESLData!C$1:C$9960,MATCH($A304,ESLData!$B$1:$B$9960,0)))</f>
        <v>Photocopying</v>
      </c>
    </row>
    <row r="305" spans="1:11" ht="14.25" customHeight="1" x14ac:dyDescent="0.2">
      <c r="A305" s="144">
        <v>38935</v>
      </c>
      <c r="C305" s="143">
        <f>HLOOKUP("start",ESLData!E$1:E$9960,MATCH($A305,ESLData!$B$1:$B$9960,0))</f>
        <v>9046.1299999999992</v>
      </c>
      <c r="E305" s="143">
        <f>HLOOKUP("start",ESLData!F$1:F$9960,MATCH($A305,ESLData!$B$1:$B$9960,0))</f>
        <v>7300</v>
      </c>
      <c r="G305" s="143">
        <f>HLOOKUP("start",ESLData!H$1:H$9960,MATCH($A305,ESLData!$B$1:$B$9960,0))</f>
        <v>8267.15</v>
      </c>
      <c r="J305" s="156" t="s">
        <v>987</v>
      </c>
      <c r="K305" s="142" t="str">
        <f>IF(ISNA(HLOOKUP("start",ESLData!C$1:C$9960,MATCH($A305,ESLData!$B$1:$B$9960,0))),"",HLOOKUP("start",ESLData!C$1:C$9960,MATCH($A305,ESLData!$B$1:$B$9960,0)))</f>
        <v>Telephone/Tolls/Fax</v>
      </c>
    </row>
    <row r="306" spans="1:11" ht="14.25" customHeight="1" x14ac:dyDescent="0.2">
      <c r="A306" s="144">
        <v>38937</v>
      </c>
      <c r="C306" s="143">
        <f>HLOOKUP("start",ESLData!E$1:E$9960,MATCH($A306,ESLData!$B$1:$B$9960,0))</f>
        <v>920.02</v>
      </c>
      <c r="E306" s="143">
        <f>HLOOKUP("start",ESLData!F$1:F$9960,MATCH($A306,ESLData!$B$1:$B$9960,0))</f>
        <v>500</v>
      </c>
      <c r="F306" s="155"/>
      <c r="G306" s="143">
        <f>HLOOKUP("start",ESLData!H$1:H$9960,MATCH($A306,ESLData!$B$1:$B$9960,0))</f>
        <v>894.64</v>
      </c>
      <c r="J306" s="156" t="s">
        <v>987</v>
      </c>
      <c r="K306" s="142" t="str">
        <f>IF(ISNA(HLOOKUP("start",ESLData!C$1:C$9960,MATCH($A306,ESLData!$B$1:$B$9960,0))),"",HLOOKUP("start",ESLData!C$1:C$9960,MATCH($A306,ESLData!$B$1:$B$9960,0)))</f>
        <v>Stationery</v>
      </c>
    </row>
    <row r="307" spans="1:11" ht="14.25" customHeight="1" x14ac:dyDescent="0.2">
      <c r="A307" s="144">
        <v>38939</v>
      </c>
      <c r="C307" s="143">
        <f>HLOOKUP("start",ESLData!E$1:E$9960,MATCH($A307,ESLData!$B$1:$B$9960,0))</f>
        <v>13378.18</v>
      </c>
      <c r="D307" s="162">
        <f>ROUND(SUM(C261:C307),0)</f>
        <v>356885</v>
      </c>
      <c r="E307" s="143">
        <f>HLOOKUP("start",ESLData!F$1:F$9960,MATCH($A307,ESLData!$B$1:$B$9960,0))</f>
        <v>8000</v>
      </c>
      <c r="F307" s="162">
        <f>ROUND(SUM(E261:E307),0)</f>
        <v>288530</v>
      </c>
      <c r="G307" s="143">
        <f>HLOOKUP("start",ESLData!H$1:H$9960,MATCH($A307,ESLData!$B$1:$B$9960,0))</f>
        <v>12154.89</v>
      </c>
      <c r="H307" s="162">
        <f>ROUND(SUM(G261:G307),0)</f>
        <v>278693</v>
      </c>
      <c r="J307" s="156" t="s">
        <v>987</v>
      </c>
      <c r="K307" s="142" t="str">
        <f>IF(ISNA(HLOOKUP("start",ESLData!C$1:C$9960,MATCH($A307,ESLData!$B$1:$B$9960,0))),"",HLOOKUP("start",ESLData!C$1:C$9960,MATCH($A307,ESLData!$B$1:$B$9960,0)))</f>
        <v>Immersion  Consumables</v>
      </c>
    </row>
    <row r="308" spans="1:11" ht="14.25" customHeight="1" x14ac:dyDescent="0.2">
      <c r="A308" s="147" t="s">
        <v>978</v>
      </c>
      <c r="C308" s="143"/>
      <c r="E308" s="143"/>
      <c r="G308" s="143"/>
      <c r="H308" s="155"/>
      <c r="J308" s="156" t="s">
        <v>987</v>
      </c>
      <c r="K308" s="142" t="str">
        <f>IF(ISNA(HLOOKUP("start",ESLData!C$1:C$9960,MATCH($A308,ESLData!$B$1:$B$9960,0))),"",HLOOKUP("start",ESLData!C$1:C$9960,MATCH($A308,ESLData!$B$1:$B$9960,0)))</f>
        <v/>
      </c>
    </row>
    <row r="309" spans="1:11" ht="14.25" customHeight="1" x14ac:dyDescent="0.2">
      <c r="A309" s="144">
        <v>38640</v>
      </c>
      <c r="C309" s="143">
        <f>HLOOKUP("start",ESLData!E$1:E$9960,MATCH($A309,ESLData!$B$1:$B$9960,0))</f>
        <v>522.39</v>
      </c>
      <c r="D309" s="148"/>
      <c r="E309" s="143">
        <f>HLOOKUP("start",ESLData!F$1:F$9960,MATCH($A309,ESLData!$B$1:$B$9960,0))</f>
        <v>1500</v>
      </c>
      <c r="F309" s="148"/>
      <c r="G309" s="143">
        <f>HLOOKUP("start",ESLData!H$1:H$9960,MATCH($A309,ESLData!$B$1:$B$9960,0))</f>
        <v>1078.92</v>
      </c>
      <c r="H309" s="148"/>
      <c r="J309" s="156" t="s">
        <v>987</v>
      </c>
      <c r="K309" s="142" t="str">
        <f>IF(ISNA(HLOOKUP("start",ESLData!C$1:C$9960,MATCH($A309,ESLData!$B$1:$B$9960,0))),"",HLOOKUP("start",ESLData!C$1:C$9960,MATCH($A309,ESLData!$B$1:$B$9960,0)))</f>
        <v>Vehicle R&amp;M</v>
      </c>
    </row>
    <row r="310" spans="1:11" ht="14.25" customHeight="1" x14ac:dyDescent="0.2">
      <c r="A310" s="144">
        <v>38050</v>
      </c>
      <c r="C310" s="143">
        <f>HLOOKUP("start",ESLData!E$1:E$9960,MATCH($A310,ESLData!$B$1:$B$9960,0))</f>
        <v>1648.19</v>
      </c>
      <c r="E310" s="143">
        <f>HLOOKUP("start",ESLData!F$1:F$9960,MATCH($A310,ESLData!$B$1:$B$9960,0))</f>
        <v>1500</v>
      </c>
      <c r="G310" s="143">
        <f>HLOOKUP("start",ESLData!H$1:H$9960,MATCH($A310,ESLData!$B$1:$B$9960,0))</f>
        <v>1578.51</v>
      </c>
      <c r="J310" s="156" t="s">
        <v>987</v>
      </c>
      <c r="K310" s="142" t="str">
        <f>IF(ISNA(HLOOKUP("start",ESLData!C$1:C$9960,MATCH($A310,ESLData!$B$1:$B$9960,0))),"",HLOOKUP("start",ESLData!C$1:C$9960,MATCH($A310,ESLData!$B$1:$B$9960,0)))</f>
        <v>Hostels R &amp; M</v>
      </c>
    </row>
    <row r="311" spans="1:11" ht="14.25" customHeight="1" x14ac:dyDescent="0.2">
      <c r="A311" s="144">
        <v>38420</v>
      </c>
      <c r="C311" s="143">
        <f>HLOOKUP("start",ESLData!E$1:E$9960,MATCH($A311,ESLData!$B$1:$B$9960,0))</f>
        <v>437.5</v>
      </c>
      <c r="D311" s="162">
        <f>ROUND(SUM(C309:C311),0)</f>
        <v>2608</v>
      </c>
      <c r="E311" s="143">
        <f>HLOOKUP("start",ESLData!F$1:F$9960,MATCH($A311,ESLData!$B$1:$B$9960,0))</f>
        <v>1000</v>
      </c>
      <c r="F311" s="155">
        <f>ROUND(SUM(E309:E311),0)</f>
        <v>4000</v>
      </c>
      <c r="G311" s="143">
        <f>HLOOKUP("start",ESLData!H$1:H$9960,MATCH($A311,ESLData!$B$1:$B$9960,0))</f>
        <v>2633.88</v>
      </c>
      <c r="H311" s="162">
        <f>ROUND(SUM(G309:G311),0)</f>
        <v>5291</v>
      </c>
      <c r="J311" s="156" t="s">
        <v>987</v>
      </c>
      <c r="K311" s="142" t="str">
        <f>IF(ISNA(HLOOKUP("start",ESLData!C$1:C$9960,MATCH($A311,ESLData!$B$1:$B$9960,0))),"",HLOOKUP("start",ESLData!C$1:C$9960,MATCH($A311,ESLData!$B$1:$B$9960,0)))</f>
        <v>Repairs &amp; Maintenance</v>
      </c>
    </row>
    <row r="312" spans="1:11" ht="14.25" customHeight="1" x14ac:dyDescent="0.2">
      <c r="A312" s="147" t="s">
        <v>418</v>
      </c>
      <c r="C312" s="143"/>
      <c r="E312" s="143"/>
      <c r="G312" s="143"/>
      <c r="J312" s="156" t="s">
        <v>987</v>
      </c>
      <c r="K312" s="142" t="str">
        <f>IF(ISNA(HLOOKUP("start",ESLData!C$1:C$9960,MATCH($A312,ESLData!$B$1:$B$9960,0))),"",HLOOKUP("start",ESLData!C$1:C$9960,MATCH($A312,ESLData!$B$1:$B$9960,0)))</f>
        <v/>
      </c>
    </row>
    <row r="313" spans="1:11" ht="14.25" customHeight="1" x14ac:dyDescent="0.2">
      <c r="A313" s="144">
        <v>38280</v>
      </c>
      <c r="C313" s="143">
        <f>HLOOKUP("start",ESLData!E$1:E$9960,MATCH($A313,ESLData!$B$1:$B$9960,0))</f>
        <v>0</v>
      </c>
      <c r="D313" s="148"/>
      <c r="E313" s="143">
        <f>HLOOKUP("start",ESLData!F$1:F$9960,MATCH($A313,ESLData!$B$1:$B$9960,0))</f>
        <v>500</v>
      </c>
      <c r="F313" s="148"/>
      <c r="G313" s="143">
        <f>HLOOKUP("start",ESLData!H$1:H$9960,MATCH($A313,ESLData!$B$1:$B$9960,0))</f>
        <v>106.12</v>
      </c>
      <c r="H313" s="148"/>
      <c r="J313" s="156" t="s">
        <v>987</v>
      </c>
      <c r="K313" s="142" t="str">
        <f>IF(ISNA(HLOOKUP("start",ESLData!C$1:C$9960,MATCH($A313,ESLData!$B$1:$B$9960,0))),"",HLOOKUP("start",ESLData!C$1:C$9960,MATCH($A313,ESLData!$B$1:$B$9960,0)))</f>
        <v>Hostels Staff Trav Reimb</v>
      </c>
    </row>
    <row r="314" spans="1:11" ht="14.25" customHeight="1" x14ac:dyDescent="0.2">
      <c r="A314" s="144">
        <v>38260</v>
      </c>
      <c r="C314" s="143">
        <f>HLOOKUP("start",ESLData!E$1:E$9960,MATCH($A314,ESLData!$B$1:$B$9960,0))</f>
        <v>1320.16</v>
      </c>
      <c r="E314" s="143">
        <f>HLOOKUP("start",ESLData!F$1:F$9960,MATCH($A314,ESLData!$B$1:$B$9960,0))</f>
        <v>1500</v>
      </c>
      <c r="G314" s="143">
        <f>HLOOKUP("start",ESLData!H$1:H$9960,MATCH($A314,ESLData!$B$1:$B$9960,0))</f>
        <v>1478.24</v>
      </c>
      <c r="J314" s="156" t="s">
        <v>987</v>
      </c>
      <c r="K314" s="142" t="str">
        <f>IF(ISNA(HLOOKUP("start",ESLData!C$1:C$9960,MATCH($A314,ESLData!$B$1:$B$9960,0))),"",HLOOKUP("start",ESLData!C$1:C$9960,MATCH($A314,ESLData!$B$1:$B$9960,0)))</f>
        <v>Recruitment</v>
      </c>
    </row>
    <row r="315" spans="1:11" ht="14.25" customHeight="1" x14ac:dyDescent="0.2">
      <c r="A315" s="144">
        <v>38933</v>
      </c>
      <c r="C315" s="143">
        <f>HLOOKUP("start",ESLData!E$1:E$9960,MATCH($A315,ESLData!$B$1:$B$9960,0))</f>
        <v>104.68</v>
      </c>
      <c r="E315" s="143">
        <f>HLOOKUP("start",ESLData!F$1:F$9960,MATCH($A315,ESLData!$B$1:$B$9960,0))</f>
        <v>0</v>
      </c>
      <c r="G315" s="143">
        <f>HLOOKUP("start",ESLData!H$1:H$9960,MATCH($A315,ESLData!$B$1:$B$9960,0))</f>
        <v>47.83</v>
      </c>
      <c r="J315" s="156" t="s">
        <v>987</v>
      </c>
      <c r="K315" s="142" t="str">
        <f>IF(ISNA(HLOOKUP("start",ESLData!C$1:C$9960,MATCH($A315,ESLData!$B$1:$B$9960,0))),"",HLOOKUP("start",ESLData!C$1:C$9960,MATCH($A315,ESLData!$B$1:$B$9960,0)))</f>
        <v>Staff Travel Reimbursement</v>
      </c>
    </row>
    <row r="316" spans="1:11" ht="14.25" customHeight="1" x14ac:dyDescent="0.2">
      <c r="A316" s="144">
        <v>38220</v>
      </c>
      <c r="C316" s="143">
        <f>HLOOKUP("start",ESLData!E$1:E$9960,MATCH($A316,ESLData!$B$1:$B$9960,0))</f>
        <v>734059.67</v>
      </c>
      <c r="E316" s="143">
        <f>HLOOKUP("start",ESLData!F$1:F$9960,MATCH($A316,ESLData!$B$1:$B$9960,0))</f>
        <v>746727</v>
      </c>
      <c r="G316" s="143">
        <f>HLOOKUP("start",ESLData!H$1:H$9960,MATCH($A316,ESLData!$B$1:$B$9960,0))</f>
        <v>574857.65</v>
      </c>
      <c r="J316" s="156" t="s">
        <v>987</v>
      </c>
      <c r="K316" s="142" t="str">
        <f>IF(ISNA(HLOOKUP("start",ESLData!C$1:C$9960,MATCH($A316,ESLData!$B$1:$B$9960,0))),"",HLOOKUP("start",ESLData!C$1:C$9960,MATCH($A316,ESLData!$B$1:$B$9960,0)))</f>
        <v>Salaries - Residential Staff</v>
      </c>
    </row>
    <row r="317" spans="1:11" ht="14.25" customHeight="1" x14ac:dyDescent="0.2">
      <c r="A317" s="144">
        <v>38250</v>
      </c>
      <c r="C317" s="143">
        <f>HLOOKUP("start",ESLData!E$1:E$9960,MATCH($A317,ESLData!$B$1:$B$9960,0))</f>
        <v>3010.43</v>
      </c>
      <c r="E317" s="143">
        <f>HLOOKUP("start",ESLData!F$1:F$9960,MATCH($A317,ESLData!$B$1:$B$9960,0))</f>
        <v>3880</v>
      </c>
      <c r="G317" s="143">
        <f>HLOOKUP("start",ESLData!H$1:H$9960,MATCH($A317,ESLData!$B$1:$B$9960,0))</f>
        <v>3227.83</v>
      </c>
      <c r="J317" s="156" t="s">
        <v>987</v>
      </c>
      <c r="K317" s="142" t="str">
        <f>IF(ISNA(HLOOKUP("start",ESLData!C$1:C$9960,MATCH($A317,ESLData!$B$1:$B$9960,0))),"",HLOOKUP("start",ESLData!C$1:C$9960,MATCH($A317,ESLData!$B$1:$B$9960,0)))</f>
        <v>Acc Levies</v>
      </c>
    </row>
    <row r="318" spans="1:11" ht="14.25" customHeight="1" x14ac:dyDescent="0.2">
      <c r="A318" s="144">
        <v>38500</v>
      </c>
      <c r="C318" s="143">
        <f>HLOOKUP("start",ESLData!E$1:E$9960,MATCH($A318,ESLData!$B$1:$B$9960,0))</f>
        <v>78999.429999999993</v>
      </c>
      <c r="E318" s="143">
        <f>HLOOKUP("start",ESLData!F$1:F$9960,MATCH($A318,ESLData!$B$1:$B$9960,0))</f>
        <v>75270</v>
      </c>
      <c r="G318" s="143">
        <f>HLOOKUP("start",ESLData!H$1:H$9960,MATCH($A318,ESLData!$B$1:$B$9960,0))</f>
        <v>56277.63</v>
      </c>
      <c r="J318" s="156" t="s">
        <v>987</v>
      </c>
      <c r="K318" s="142" t="str">
        <f>IF(ISNA(HLOOKUP("start",ESLData!C$1:C$9960,MATCH($A318,ESLData!$B$1:$B$9960,0))),"",HLOOKUP("start",ESLData!C$1:C$9960,MATCH($A318,ESLData!$B$1:$B$9960,0)))</f>
        <v>Salaries</v>
      </c>
    </row>
    <row r="319" spans="1:11" ht="14.25" customHeight="1" x14ac:dyDescent="0.2">
      <c r="A319" s="144">
        <v>38929</v>
      </c>
      <c r="C319" s="143">
        <f>HLOOKUP("start",ESLData!E$1:E$9960,MATCH($A319,ESLData!$B$1:$B$9960,0))</f>
        <v>10161.19</v>
      </c>
      <c r="E319" s="143">
        <f>HLOOKUP("start",ESLData!F$1:F$9960,MATCH($A319,ESLData!$B$1:$B$9960,0))</f>
        <v>17928</v>
      </c>
      <c r="G319" s="143">
        <f>HLOOKUP("start",ESLData!H$1:H$9960,MATCH($A319,ESLData!$B$1:$B$9960,0))</f>
        <v>11315.55</v>
      </c>
      <c r="J319" s="156" t="s">
        <v>987</v>
      </c>
      <c r="K319" s="142" t="str">
        <f>IF(ISNA(HLOOKUP("start",ESLData!C$1:C$9960,MATCH($A319,ESLData!$B$1:$B$9960,0))),"",HLOOKUP("start",ESLData!C$1:C$9960,MATCH($A319,ESLData!$B$1:$B$9960,0)))</f>
        <v>Salaries - Relieving Teachers</v>
      </c>
    </row>
    <row r="320" spans="1:11" ht="14.25" customHeight="1" x14ac:dyDescent="0.2">
      <c r="A320" s="144">
        <v>38930</v>
      </c>
      <c r="C320" s="143">
        <f>HLOOKUP("start",ESLData!E$1:E$9960,MATCH($A320,ESLData!$B$1:$B$9960,0))</f>
        <v>103445.49</v>
      </c>
      <c r="E320" s="143">
        <f>HLOOKUP("start",ESLData!F$1:F$9960,MATCH($A320,ESLData!$B$1:$B$9960,0))</f>
        <v>85496</v>
      </c>
      <c r="G320" s="143">
        <f>HLOOKUP("start",ESLData!H$1:H$9960,MATCH($A320,ESLData!$B$1:$B$9960,0))</f>
        <v>112024.2</v>
      </c>
      <c r="J320" s="156" t="s">
        <v>987</v>
      </c>
      <c r="K320" s="142" t="str">
        <f>IF(ISNA(HLOOKUP("start",ESLData!C$1:C$9960,MATCH($A320,ESLData!$B$1:$B$9960,0))),"",HLOOKUP("start",ESLData!C$1:C$9960,MATCH($A320,ESLData!$B$1:$B$9960,0)))</f>
        <v>Salaries - Teaching Staff</v>
      </c>
    </row>
    <row r="321" spans="1:12" ht="14.25" customHeight="1" x14ac:dyDescent="0.2">
      <c r="A321" s="144">
        <v>38931</v>
      </c>
      <c r="C321" s="143">
        <f>HLOOKUP("start",ESLData!E$1:E$9960,MATCH($A321,ESLData!$B$1:$B$9960,0))</f>
        <v>0</v>
      </c>
      <c r="E321" s="143">
        <f>HLOOKUP("start",ESLData!F$1:F$9960,MATCH($A321,ESLData!$B$1:$B$9960,0))</f>
        <v>0</v>
      </c>
      <c r="G321" s="143">
        <f>HLOOKUP("start",ESLData!H$1:H$9960,MATCH($A321,ESLData!$B$1:$B$9960,0))</f>
        <v>0</v>
      </c>
      <c r="J321" s="156" t="s">
        <v>987</v>
      </c>
      <c r="K321" s="142" t="str">
        <f>IF(ISNA(HLOOKUP("start",ESLData!C$1:C$9960,MATCH($A321,ESLData!$B$1:$B$9960,0))),"",HLOOKUP("start",ESLData!C$1:C$9960,MATCH($A321,ESLData!$B$1:$B$9960,0)))</f>
        <v>Acc</v>
      </c>
    </row>
    <row r="322" spans="1:12" ht="14.25" customHeight="1" x14ac:dyDescent="0.2">
      <c r="A322" s="144">
        <v>38922</v>
      </c>
      <c r="C322" s="143">
        <f>HLOOKUP("start",ESLData!E$1:E$9960,MATCH($A322,ESLData!$B$1:$B$9960,0))</f>
        <v>0</v>
      </c>
      <c r="E322" s="143">
        <f>HLOOKUP("start",ESLData!F$1:F$9960,MATCH($A322,ESLData!$B$1:$B$9960,0))</f>
        <v>0</v>
      </c>
      <c r="G322" s="143">
        <f>HLOOKUP("start",ESLData!H$1:H$9960,MATCH($A322,ESLData!$B$1:$B$9960,0))</f>
        <v>0</v>
      </c>
      <c r="J322" s="156" t="s">
        <v>987</v>
      </c>
      <c r="K322" s="142" t="str">
        <f>IF(ISNA(HLOOKUP("start",ESLData!C$1:C$9960,MATCH($A322,ESLData!$B$1:$B$9960,0))),"",HLOOKUP("start",ESLData!C$1:C$9960,MATCH($A322,ESLData!$B$1:$B$9960,0)))</f>
        <v>Meals</v>
      </c>
    </row>
    <row r="323" spans="1:12" ht="14.25" customHeight="1" x14ac:dyDescent="0.2">
      <c r="A323" s="144">
        <v>38950</v>
      </c>
      <c r="C323" s="143">
        <f>HLOOKUP("start",ESLData!E$1:E$9960,MATCH($A323,ESLData!$B$1:$B$9960,0))</f>
        <v>0</v>
      </c>
      <c r="E323" s="143">
        <f>HLOOKUP("start",ESLData!F$1:F$9960,MATCH($A323,ESLData!$B$1:$B$9960,0))</f>
        <v>0</v>
      </c>
      <c r="G323" s="143">
        <f>HLOOKUP("start",ESLData!H$1:H$9960,MATCH($A323,ESLData!$B$1:$B$9960,0))</f>
        <v>0</v>
      </c>
      <c r="J323" s="156" t="s">
        <v>987</v>
      </c>
      <c r="K323" s="142" t="str">
        <f>IF(ISNA(HLOOKUP("start",ESLData!C$1:C$9960,MATCH($A323,ESLData!$B$1:$B$9960,0))),"",HLOOKUP("start",ESLData!C$1:C$9960,MATCH($A323,ESLData!$B$1:$B$9960,0)))</f>
        <v>Administration</v>
      </c>
    </row>
    <row r="324" spans="1:12" ht="14.25" customHeight="1" x14ac:dyDescent="0.2">
      <c r="A324" s="144">
        <v>38957</v>
      </c>
      <c r="C324" s="143">
        <f>HLOOKUP("start",ESLData!E$1:E$9960,MATCH($A324,ESLData!$B$1:$B$9960,0))</f>
        <v>0</v>
      </c>
      <c r="D324" s="162">
        <f>ROUND(SUM(C313:C324),0)</f>
        <v>931101</v>
      </c>
      <c r="E324" s="143">
        <f>HLOOKUP("start",ESLData!F$1:F$9960,MATCH($A324,ESLData!$B$1:$B$9960,0))</f>
        <v>0</v>
      </c>
      <c r="F324" s="155">
        <f>ROUND(SUM(E313:E324),0)</f>
        <v>931301</v>
      </c>
      <c r="G324" s="143">
        <f>HLOOKUP("start",ESLData!H$1:H$9960,MATCH($A324,ESLData!$B$1:$B$9960,0))</f>
        <v>0</v>
      </c>
      <c r="H324" s="162">
        <f>ROUND(SUM(G313:G324),0)</f>
        <v>759335</v>
      </c>
      <c r="J324" s="156" t="s">
        <v>987</v>
      </c>
      <c r="K324" s="142" t="str">
        <f>IF(ISNA(HLOOKUP("start",ESLData!C$1:C$9960,MATCH($A324,ESLData!$B$1:$B$9960,0))),"",HLOOKUP("start",ESLData!C$1:C$9960,MATCH($A324,ESLData!$B$1:$B$9960,0)))</f>
        <v>Intermediate Musicianship</v>
      </c>
    </row>
    <row r="325" spans="1:12" ht="14.25" customHeight="1" x14ac:dyDescent="0.2">
      <c r="A325" s="147" t="s">
        <v>419</v>
      </c>
      <c r="C325" s="143"/>
      <c r="E325" s="143"/>
      <c r="G325" s="143"/>
      <c r="J325" s="156" t="s">
        <v>987</v>
      </c>
      <c r="K325" s="142" t="str">
        <f>IF(ISNA(HLOOKUP("start",ESLData!C$1:C$9960,MATCH($A325,ESLData!$B$1:$B$9960,0))),"",HLOOKUP("start",ESLData!C$1:C$9960,MATCH($A325,ESLData!$B$1:$B$9960,0)))</f>
        <v/>
      </c>
    </row>
    <row r="326" spans="1:12" ht="14.25" customHeight="1" x14ac:dyDescent="0.2">
      <c r="A326" s="144">
        <v>38270</v>
      </c>
      <c r="C326" s="143">
        <f>HLOOKUP("start",ESLData!E$1:E$9960,MATCH($A326,ESLData!$B$1:$B$9960,0))</f>
        <v>24737.93</v>
      </c>
      <c r="E326" s="143">
        <f>HLOOKUP("start",ESLData!F$1:F$9960,MATCH($A326,ESLData!$B$1:$B$9960,0))</f>
        <v>18200</v>
      </c>
      <c r="G326" s="143">
        <f>HLOOKUP("start",ESLData!H$1:H$9960,MATCH($A326,ESLData!$B$1:$B$9960,0))</f>
        <v>21356.51</v>
      </c>
      <c r="J326" s="156" t="s">
        <v>987</v>
      </c>
      <c r="K326" s="142" t="str">
        <f>IF(ISNA(HLOOKUP("start",ESLData!C$1:C$9960,MATCH($A326,ESLData!$B$1:$B$9960,0))),"",HLOOKUP("start",ESLData!C$1:C$9960,MATCH($A326,ESLData!$B$1:$B$9960,0)))</f>
        <v>Staff Training</v>
      </c>
    </row>
    <row r="327" spans="1:12" ht="14.25" customHeight="1" x14ac:dyDescent="0.2">
      <c r="A327" s="144">
        <v>38932</v>
      </c>
      <c r="C327" s="143">
        <f>HLOOKUP("start",ESLData!E$1:E$9960,MATCH($A327,ESLData!$B$1:$B$9960,0))</f>
        <v>0</v>
      </c>
      <c r="D327" s="162">
        <f>ROUND(SUM(C326:C327),0)</f>
        <v>24738</v>
      </c>
      <c r="E327" s="143">
        <f>HLOOKUP("start",ESLData!F$1:F$9960,MATCH($A327,ESLData!$B$1:$B$9960,0))</f>
        <v>0</v>
      </c>
      <c r="F327" s="155">
        <f>ROUND(SUM(E326:E327),0)</f>
        <v>18200</v>
      </c>
      <c r="G327" s="143">
        <f>HLOOKUP("start",ESLData!H$1:H$9960,MATCH($A327,ESLData!$B$1:$B$9960,0))</f>
        <v>0</v>
      </c>
      <c r="H327" s="162">
        <f>ROUND(SUM(G326:G327),0)</f>
        <v>21357</v>
      </c>
      <c r="J327" s="156" t="s">
        <v>987</v>
      </c>
      <c r="K327" s="142" t="str">
        <f>IF(ISNA(HLOOKUP("start",ESLData!C$1:C$9960,MATCH($A327,ESLData!$B$1:$B$9960,0))),"",HLOOKUP("start",ESLData!C$1:C$9960,MATCH($A327,ESLData!$B$1:$B$9960,0)))</f>
        <v>Staff Training</v>
      </c>
    </row>
    <row r="328" spans="1:12" ht="14.25" customHeight="1" x14ac:dyDescent="0.2">
      <c r="A328" s="147"/>
      <c r="C328" s="143"/>
      <c r="E328" s="143"/>
      <c r="G328" s="143"/>
      <c r="K328" s="142" t="str">
        <f>IF(ISNA(HLOOKUP("start",ESLData!C$1:C$9960,MATCH($A328,ESLData!$B$1:$B$9960,0))),"",HLOOKUP("start",ESLData!C$1:C$9960,MATCH($A328,ESLData!$B$1:$B$9960,0)))</f>
        <v/>
      </c>
    </row>
    <row r="329" spans="1:12" s="154" customFormat="1" ht="14.25" customHeight="1" x14ac:dyDescent="0.2">
      <c r="A329" s="147" t="s">
        <v>981</v>
      </c>
      <c r="B329" s="142"/>
      <c r="C329" s="143"/>
      <c r="D329" s="142"/>
      <c r="E329" s="143"/>
      <c r="F329" s="142"/>
      <c r="G329" s="143"/>
      <c r="H329" s="142"/>
      <c r="K329" s="142" t="str">
        <f>IF(ISNA(HLOOKUP("start",ESLData!C$1:C$9960,MATCH($A329,ESLData!$B$1:$B$9960,0))),"",HLOOKUP("start",ESLData!C$1:C$9960,MATCH($A329,ESLData!$B$1:$B$9960,0)))</f>
        <v/>
      </c>
    </row>
    <row r="330" spans="1:12" ht="14.25" customHeight="1" x14ac:dyDescent="0.2">
      <c r="A330" s="147" t="s">
        <v>617</v>
      </c>
      <c r="C330" s="143"/>
      <c r="E330" s="143"/>
      <c r="G330" s="143"/>
      <c r="K330" s="142" t="str">
        <f>IF(ISNA(HLOOKUP("start",ESLData!C$1:C$9960,MATCH($A330,ESLData!$B$1:$B$9960,0))),"",HLOOKUP("start",ESLData!C$1:C$9960,MATCH($A330,ESLData!$B$1:$B$9960,0)))</f>
        <v/>
      </c>
    </row>
    <row r="331" spans="1:12" ht="14.25" customHeight="1" x14ac:dyDescent="0.2">
      <c r="A331" s="144">
        <v>30715</v>
      </c>
      <c r="C331" s="143">
        <f>HLOOKUP("start",ESLData!E$1:E$9960,MATCH($A331,ESLData!$B$1:$B$9960,0))</f>
        <v>0</v>
      </c>
      <c r="E331" s="143">
        <f>HLOOKUP("start",ESLData!F$1:F$9960,MATCH($A331,ESLData!$B$1:$B$9960,0))</f>
        <v>0</v>
      </c>
      <c r="G331" s="143">
        <f>HLOOKUP("start",ESLData!H$1:H$9960,MATCH($A331,ESLData!$B$1:$B$9960,0))</f>
        <v>0</v>
      </c>
      <c r="J331" s="156" t="s">
        <v>987</v>
      </c>
      <c r="K331" s="142" t="str">
        <f>IF(ISNA(HLOOKUP("start",ESLData!C$1:C$9960,MATCH($A331,ESLData!$B$1:$B$9960,0))),"",HLOOKUP("start",ESLData!C$1:C$9960,MATCH($A331,ESLData!$B$1:$B$9960,0)))</f>
        <v>Playground Consumables</v>
      </c>
      <c r="L331" s="148"/>
    </row>
    <row r="332" spans="1:12" ht="14.25" customHeight="1" x14ac:dyDescent="0.2">
      <c r="A332" s="144">
        <v>34710</v>
      </c>
      <c r="C332" s="143">
        <f>HLOOKUP("start",ESLData!E$1:E$9960,MATCH($A332,ESLData!$B$1:$B$9960,0))</f>
        <v>0</v>
      </c>
      <c r="E332" s="143">
        <f>HLOOKUP("start",ESLData!F$1:F$9960,MATCH($A332,ESLData!$B$1:$B$9960,0))</f>
        <v>0</v>
      </c>
      <c r="G332" s="143">
        <f>HLOOKUP("start",ESLData!H$1:H$9960,MATCH($A332,ESLData!$B$1:$B$9960,0))</f>
        <v>0</v>
      </c>
      <c r="J332" s="156" t="s">
        <v>987</v>
      </c>
      <c r="K332" s="142" t="str">
        <f>IF(ISNA(HLOOKUP("start",ESLData!C$1:C$9960,MATCH($A332,ESLData!$B$1:$B$9960,0))),"",HLOOKUP("start",ESLData!C$1:C$9960,MATCH($A332,ESLData!$B$1:$B$9960,0)))</f>
        <v>Telephone/Tolls/Fax</v>
      </c>
    </row>
    <row r="333" spans="1:12" ht="14.25" customHeight="1" x14ac:dyDescent="0.2">
      <c r="A333" s="144">
        <v>34720</v>
      </c>
      <c r="C333" s="143">
        <f>HLOOKUP("start",ESLData!E$1:E$9960,MATCH($A333,ESLData!$B$1:$B$9960,0))</f>
        <v>0</v>
      </c>
      <c r="E333" s="143">
        <f>HLOOKUP("start",ESLData!F$1:F$9960,MATCH($A333,ESLData!$B$1:$B$9960,0))</f>
        <v>0</v>
      </c>
      <c r="G333" s="143">
        <f>HLOOKUP("start",ESLData!H$1:H$9960,MATCH($A333,ESLData!$B$1:$B$9960,0))</f>
        <v>0</v>
      </c>
      <c r="J333" s="156" t="s">
        <v>987</v>
      </c>
      <c r="K333" s="142" t="str">
        <f>IF(ISNA(HLOOKUP("start",ESLData!C$1:C$9960,MATCH($A333,ESLData!$B$1:$B$9960,0))),"",HLOOKUP("start",ESLData!C$1:C$9960,MATCH($A333,ESLData!$B$1:$B$9960,0)))</f>
        <v>Photocopying</v>
      </c>
    </row>
    <row r="334" spans="1:12" s="150" customFormat="1" ht="14.25" customHeight="1" x14ac:dyDescent="0.2">
      <c r="A334" s="144">
        <v>34730</v>
      </c>
      <c r="B334" s="142"/>
      <c r="C334" s="143">
        <f>HLOOKUP("start",ESLData!E$1:E$9960,MATCH($A334,ESLData!$B$1:$B$9960,0))</f>
        <v>0</v>
      </c>
      <c r="D334" s="148"/>
      <c r="E334" s="143">
        <f>HLOOKUP("start",ESLData!F$1:F$9960,MATCH($A334,ESLData!$B$1:$B$9960,0))</f>
        <v>100</v>
      </c>
      <c r="F334" s="148"/>
      <c r="G334" s="143">
        <f>HLOOKUP("start",ESLData!H$1:H$9960,MATCH($A334,ESLData!$B$1:$B$9960,0))</f>
        <v>52.16</v>
      </c>
      <c r="H334" s="148"/>
      <c r="J334" s="156" t="s">
        <v>987</v>
      </c>
      <c r="K334" s="142" t="str">
        <f>IF(ISNA(HLOOKUP("start",ESLData!C$1:C$9960,MATCH($A334,ESLData!$B$1:$B$9960,0))),"",HLOOKUP("start",ESLData!C$1:C$9960,MATCH($A334,ESLData!$B$1:$B$9960,0)))</f>
        <v>Printing/Stationery</v>
      </c>
    </row>
    <row r="335" spans="1:12" ht="14.25" customHeight="1" x14ac:dyDescent="0.2">
      <c r="A335" s="144">
        <v>34740</v>
      </c>
      <c r="C335" s="143">
        <f>HLOOKUP("start",ESLData!E$1:E$9960,MATCH($A335,ESLData!$B$1:$B$9960,0))</f>
        <v>213.69</v>
      </c>
      <c r="E335" s="143">
        <f>HLOOKUP("start",ESLData!F$1:F$9960,MATCH($A335,ESLData!$B$1:$B$9960,0))</f>
        <v>800</v>
      </c>
      <c r="G335" s="143">
        <f>HLOOKUP("start",ESLData!H$1:H$9960,MATCH($A335,ESLData!$B$1:$B$9960,0))</f>
        <v>429.03</v>
      </c>
      <c r="J335" s="156" t="s">
        <v>987</v>
      </c>
      <c r="K335" s="142" t="str">
        <f>IF(ISNA(HLOOKUP("start",ESLData!C$1:C$9960,MATCH($A335,ESLData!$B$1:$B$9960,0))),"",HLOOKUP("start",ESLData!C$1:C$9960,MATCH($A335,ESLData!$B$1:$B$9960,0)))</f>
        <v>Consumables</v>
      </c>
    </row>
    <row r="336" spans="1:12" ht="14.25" customHeight="1" x14ac:dyDescent="0.2">
      <c r="A336" s="144">
        <v>34760</v>
      </c>
      <c r="C336" s="143">
        <f>HLOOKUP("start",ESLData!E$1:E$9960,MATCH($A336,ESLData!$B$1:$B$9960,0))</f>
        <v>47.25</v>
      </c>
      <c r="E336" s="143">
        <f>HLOOKUP("start",ESLData!F$1:F$9960,MATCH($A336,ESLData!$B$1:$B$9960,0))</f>
        <v>0</v>
      </c>
      <c r="G336" s="143">
        <f>HLOOKUP("start",ESLData!H$1:H$9960,MATCH($A336,ESLData!$B$1:$B$9960,0))</f>
        <v>0</v>
      </c>
      <c r="J336" s="156" t="s">
        <v>987</v>
      </c>
      <c r="K336" s="142" t="str">
        <f>IF(ISNA(HLOOKUP("start",ESLData!C$1:C$9960,MATCH($A336,ESLData!$B$1:$B$9960,0))),"",HLOOKUP("start",ESLData!C$1:C$9960,MATCH($A336,ESLData!$B$1:$B$9960,0)))</f>
        <v>Publications</v>
      </c>
      <c r="L336" s="146" t="s">
        <v>781</v>
      </c>
    </row>
    <row r="337" spans="1:11" ht="14.25" customHeight="1" x14ac:dyDescent="0.2">
      <c r="A337" s="144">
        <v>34780</v>
      </c>
      <c r="C337" s="143">
        <f>HLOOKUP("start",ESLData!E$1:E$9960,MATCH($A337,ESLData!$B$1:$B$9960,0))</f>
        <v>21393.43</v>
      </c>
      <c r="E337" s="143">
        <f>HLOOKUP("start",ESLData!F$1:F$9960,MATCH($A337,ESLData!$B$1:$B$9960,0))</f>
        <v>14000</v>
      </c>
      <c r="G337" s="143">
        <f>HLOOKUP("start",ESLData!H$1:H$9960,MATCH($A337,ESLData!$B$1:$B$9960,0))</f>
        <v>20531.46</v>
      </c>
      <c r="J337" s="156" t="s">
        <v>987</v>
      </c>
      <c r="K337" s="142" t="str">
        <f>IF(ISNA(HLOOKUP("start",ESLData!C$1:C$9960,MATCH($A337,ESLData!$B$1:$B$9960,0))),"",HLOOKUP("start",ESLData!C$1:C$9960,MATCH($A337,ESLData!$B$1:$B$9960,0)))</f>
        <v>Staff Travel/Accommodation</v>
      </c>
    </row>
    <row r="338" spans="1:11" ht="14.25" customHeight="1" x14ac:dyDescent="0.2">
      <c r="A338" s="144">
        <v>34810</v>
      </c>
      <c r="C338" s="143">
        <f>HLOOKUP("start",ESLData!E$1:E$9960,MATCH($A338,ESLData!$B$1:$B$9960,0))</f>
        <v>0</v>
      </c>
      <c r="E338" s="143">
        <f>HLOOKUP("start",ESLData!F$1:F$9960,MATCH($A338,ESLData!$B$1:$B$9960,0))</f>
        <v>0</v>
      </c>
      <c r="G338" s="143">
        <f>HLOOKUP("start",ESLData!H$1:H$9960,MATCH($A338,ESLData!$B$1:$B$9960,0))</f>
        <v>0</v>
      </c>
      <c r="I338" s="152"/>
      <c r="K338" s="142" t="str">
        <f>IF(ISNA(HLOOKUP("start",ESLData!C$1:C$9960,MATCH($A338,ESLData!$B$1:$B$9960,0))),"",HLOOKUP("start",ESLData!C$1:C$9960,MATCH($A338,ESLData!$B$1:$B$9960,0)))</f>
        <v>Telephone/tolls/fax</v>
      </c>
    </row>
    <row r="339" spans="1:11" ht="14.25" customHeight="1" x14ac:dyDescent="0.2">
      <c r="A339" s="144">
        <v>34820</v>
      </c>
      <c r="C339" s="143">
        <f>HLOOKUP("start",ESLData!E$1:E$9960,MATCH($A339,ESLData!$B$1:$B$9960,0))</f>
        <v>0</v>
      </c>
      <c r="E339" s="143">
        <f>HLOOKUP("start",ESLData!F$1:F$9960,MATCH($A339,ESLData!$B$1:$B$9960,0))</f>
        <v>0</v>
      </c>
      <c r="G339" s="143">
        <f>HLOOKUP("start",ESLData!H$1:H$9960,MATCH($A339,ESLData!$B$1:$B$9960,0))</f>
        <v>0</v>
      </c>
      <c r="J339" s="156" t="s">
        <v>987</v>
      </c>
      <c r="K339" s="142" t="str">
        <f>IF(ISNA(HLOOKUP("start",ESLData!C$1:C$9960,MATCH($A339,ESLData!$B$1:$B$9960,0))),"",HLOOKUP("start",ESLData!C$1:C$9960,MATCH($A339,ESLData!$B$1:$B$9960,0)))</f>
        <v>Photocopying</v>
      </c>
    </row>
    <row r="340" spans="1:11" ht="14.25" customHeight="1" x14ac:dyDescent="0.2">
      <c r="A340" s="144">
        <v>34830</v>
      </c>
      <c r="C340" s="143">
        <f>HLOOKUP("start",ESLData!E$1:E$9960,MATCH($A340,ESLData!$B$1:$B$9960,0))</f>
        <v>252.66</v>
      </c>
      <c r="E340" s="143">
        <f>HLOOKUP("start",ESLData!F$1:F$9960,MATCH($A340,ESLData!$B$1:$B$9960,0))</f>
        <v>150</v>
      </c>
      <c r="G340" s="143">
        <f>HLOOKUP("start",ESLData!H$1:H$9960,MATCH($A340,ESLData!$B$1:$B$9960,0))</f>
        <v>37.700000000000003</v>
      </c>
      <c r="J340" s="156" t="s">
        <v>987</v>
      </c>
      <c r="K340" s="142" t="str">
        <f>IF(ISNA(HLOOKUP("start",ESLData!C$1:C$9960,MATCH($A340,ESLData!$B$1:$B$9960,0))),"",HLOOKUP("start",ESLData!C$1:C$9960,MATCH($A340,ESLData!$B$1:$B$9960,0)))</f>
        <v>Printing/stationery</v>
      </c>
    </row>
    <row r="341" spans="1:11" ht="14.25" customHeight="1" x14ac:dyDescent="0.2">
      <c r="A341" s="144">
        <v>34840</v>
      </c>
      <c r="C341" s="143">
        <f>HLOOKUP("start",ESLData!E$1:E$9960,MATCH($A341,ESLData!$B$1:$B$9960,0))</f>
        <v>659.12</v>
      </c>
      <c r="E341" s="143">
        <f>HLOOKUP("start",ESLData!F$1:F$9960,MATCH($A341,ESLData!$B$1:$B$9960,0))</f>
        <v>1000</v>
      </c>
      <c r="G341" s="143">
        <f>HLOOKUP("start",ESLData!H$1:H$9960,MATCH($A341,ESLData!$B$1:$B$9960,0))</f>
        <v>876.48</v>
      </c>
      <c r="I341" s="146"/>
      <c r="J341" s="156" t="s">
        <v>987</v>
      </c>
      <c r="K341" s="142" t="str">
        <f>IF(ISNA(HLOOKUP("start",ESLData!C$1:C$9960,MATCH($A341,ESLData!$B$1:$B$9960,0))),"",HLOOKUP("start",ESLData!C$1:C$9960,MATCH($A341,ESLData!$B$1:$B$9960,0)))</f>
        <v>Consumables</v>
      </c>
    </row>
    <row r="342" spans="1:11" ht="14.25" customHeight="1" x14ac:dyDescent="0.2">
      <c r="A342" s="144">
        <v>34860</v>
      </c>
      <c r="C342" s="143">
        <f>HLOOKUP("start",ESLData!E$1:E$9960,MATCH($A342,ESLData!$B$1:$B$9960,0))</f>
        <v>43.48</v>
      </c>
      <c r="D342" s="148"/>
      <c r="E342" s="143">
        <f>HLOOKUP("start",ESLData!F$1:F$9960,MATCH($A342,ESLData!$B$1:$B$9960,0))</f>
        <v>120</v>
      </c>
      <c r="F342" s="148"/>
      <c r="G342" s="143">
        <f>HLOOKUP("start",ESLData!H$1:H$9960,MATCH($A342,ESLData!$B$1:$B$9960,0))</f>
        <v>113.04</v>
      </c>
      <c r="H342" s="148"/>
      <c r="J342" s="156" t="s">
        <v>987</v>
      </c>
      <c r="K342" s="142" t="str">
        <f>IF(ISNA(HLOOKUP("start",ESLData!C$1:C$9960,MATCH($A342,ESLData!$B$1:$B$9960,0))),"",HLOOKUP("start",ESLData!C$1:C$9960,MATCH($A342,ESLData!$B$1:$B$9960,0)))</f>
        <v>Publications</v>
      </c>
    </row>
    <row r="343" spans="1:11" ht="14.25" customHeight="1" x14ac:dyDescent="0.2">
      <c r="A343" s="144">
        <v>34880</v>
      </c>
      <c r="C343" s="143">
        <f>HLOOKUP("start",ESLData!E$1:E$9960,MATCH($A343,ESLData!$B$1:$B$9960,0))</f>
        <v>10416.64</v>
      </c>
      <c r="E343" s="143">
        <f>HLOOKUP("start",ESLData!F$1:F$9960,MATCH($A343,ESLData!$B$1:$B$9960,0))</f>
        <v>10000</v>
      </c>
      <c r="G343" s="143">
        <f>HLOOKUP("start",ESLData!H$1:H$9960,MATCH($A343,ESLData!$B$1:$B$9960,0))</f>
        <v>5776.36</v>
      </c>
      <c r="J343" s="156" t="s">
        <v>987</v>
      </c>
      <c r="K343" s="142" t="str">
        <f>IF(ISNA(HLOOKUP("start",ESLData!C$1:C$9960,MATCH($A343,ESLData!$B$1:$B$9960,0))),"",HLOOKUP("start",ESLData!C$1:C$9960,MATCH($A343,ESLData!$B$1:$B$9960,0)))</f>
        <v>Staff Travel/Accommodation</v>
      </c>
    </row>
    <row r="344" spans="1:11" ht="14.25" customHeight="1" x14ac:dyDescent="0.2">
      <c r="A344" s="144">
        <v>35010</v>
      </c>
      <c r="C344" s="143">
        <f>HLOOKUP("start",ESLData!E$1:E$9960,MATCH($A344,ESLData!$B$1:$B$9960,0))</f>
        <v>0</v>
      </c>
      <c r="E344" s="143">
        <f>HLOOKUP("start",ESLData!F$1:F$9960,MATCH($A344,ESLData!$B$1:$B$9960,0))</f>
        <v>0</v>
      </c>
      <c r="G344" s="143">
        <f>HLOOKUP("start",ESLData!H$1:H$9960,MATCH($A344,ESLData!$B$1:$B$9960,0))</f>
        <v>0</v>
      </c>
      <c r="J344" s="156" t="s">
        <v>987</v>
      </c>
      <c r="K344" s="142" t="str">
        <f>IF(ISNA(HLOOKUP("start",ESLData!C$1:C$9960,MATCH($A344,ESLData!$B$1:$B$9960,0))),"",HLOOKUP("start",ESLData!C$1:C$9960,MATCH($A344,ESLData!$B$1:$B$9960,0)))</f>
        <v>Telephone/Tolls/Fax Ict Co-Ord</v>
      </c>
    </row>
    <row r="345" spans="1:11" ht="14.25" customHeight="1" x14ac:dyDescent="0.2">
      <c r="A345" s="144">
        <v>35020</v>
      </c>
      <c r="C345" s="143">
        <f>HLOOKUP("start",ESLData!E$1:E$9960,MATCH($A345,ESLData!$B$1:$B$9960,0))</f>
        <v>0</v>
      </c>
      <c r="E345" s="143">
        <f>HLOOKUP("start",ESLData!F$1:F$9960,MATCH($A345,ESLData!$B$1:$B$9960,0))</f>
        <v>0</v>
      </c>
      <c r="G345" s="143">
        <f>HLOOKUP("start",ESLData!H$1:H$9960,MATCH($A345,ESLData!$B$1:$B$9960,0))</f>
        <v>0</v>
      </c>
      <c r="J345" s="156" t="s">
        <v>987</v>
      </c>
      <c r="K345" s="142" t="str">
        <f>IF(ISNA(HLOOKUP("start",ESLData!C$1:C$9960,MATCH($A345,ESLData!$B$1:$B$9960,0))),"",HLOOKUP("start",ESLData!C$1:C$9960,MATCH($A345,ESLData!$B$1:$B$9960,0)))</f>
        <v>Photocopying Ict Co-Ord</v>
      </c>
    </row>
    <row r="346" spans="1:11" ht="14.25" customHeight="1" x14ac:dyDescent="0.2">
      <c r="A346" s="144">
        <v>35030</v>
      </c>
      <c r="C346" s="143">
        <f>HLOOKUP("start",ESLData!E$1:E$9960,MATCH($A346,ESLData!$B$1:$B$9960,0))</f>
        <v>351.28</v>
      </c>
      <c r="E346" s="143">
        <f>HLOOKUP("start",ESLData!F$1:F$9960,MATCH($A346,ESLData!$B$1:$B$9960,0))</f>
        <v>1500</v>
      </c>
      <c r="G346" s="143">
        <f>HLOOKUP("start",ESLData!H$1:H$9960,MATCH($A346,ESLData!$B$1:$B$9960,0))</f>
        <v>0</v>
      </c>
      <c r="J346" s="156" t="s">
        <v>987</v>
      </c>
      <c r="K346" s="142" t="str">
        <f>IF(ISNA(HLOOKUP("start",ESLData!C$1:C$9960,MATCH($A346,ESLData!$B$1:$B$9960,0))),"",HLOOKUP("start",ESLData!C$1:C$9960,MATCH($A346,ESLData!$B$1:$B$9960,0)))</f>
        <v>Printing/Stationery Ict Co-Ord</v>
      </c>
    </row>
    <row r="347" spans="1:11" ht="14.25" customHeight="1" x14ac:dyDescent="0.2">
      <c r="A347" s="144">
        <v>35040</v>
      </c>
      <c r="C347" s="143">
        <f>HLOOKUP("start",ESLData!E$1:E$9960,MATCH($A347,ESLData!$B$1:$B$9960,0))</f>
        <v>823.22</v>
      </c>
      <c r="E347" s="143">
        <f>HLOOKUP("start",ESLData!F$1:F$9960,MATCH($A347,ESLData!$B$1:$B$9960,0))</f>
        <v>1000</v>
      </c>
      <c r="G347" s="143">
        <f>HLOOKUP("start",ESLData!H$1:H$9960,MATCH($A347,ESLData!$B$1:$B$9960,0))</f>
        <v>1168.3399999999999</v>
      </c>
      <c r="J347" s="156" t="s">
        <v>987</v>
      </c>
      <c r="K347" s="142" t="str">
        <f>IF(ISNA(HLOOKUP("start",ESLData!C$1:C$9960,MATCH($A347,ESLData!$B$1:$B$9960,0))),"",HLOOKUP("start",ESLData!C$1:C$9960,MATCH($A347,ESLData!$B$1:$B$9960,0)))</f>
        <v>Consumables Ict Co-Ord</v>
      </c>
    </row>
    <row r="348" spans="1:11" ht="14.25" customHeight="1" x14ac:dyDescent="0.2">
      <c r="A348" s="144">
        <v>35050</v>
      </c>
      <c r="C348" s="143">
        <f>HLOOKUP("start",ESLData!E$1:E$9960,MATCH($A348,ESLData!$B$1:$B$9960,0))</f>
        <v>2437.0700000000002</v>
      </c>
      <c r="E348" s="143">
        <f>HLOOKUP("start",ESLData!F$1:F$9960,MATCH($A348,ESLData!$B$1:$B$9960,0))</f>
        <v>1700</v>
      </c>
      <c r="G348" s="143">
        <f>HLOOKUP("start",ESLData!H$1:H$9960,MATCH($A348,ESLData!$B$1:$B$9960,0))</f>
        <v>2146.5</v>
      </c>
      <c r="J348" s="156" t="s">
        <v>987</v>
      </c>
      <c r="K348" s="142" t="str">
        <f>IF(ISNA(HLOOKUP("start",ESLData!C$1:C$9960,MATCH($A348,ESLData!$B$1:$B$9960,0))),"",HLOOKUP("start",ESLData!C$1:C$9960,MATCH($A348,ESLData!$B$1:$B$9960,0)))</f>
        <v>Ict Expenses Ict Co-Ord</v>
      </c>
    </row>
    <row r="349" spans="1:11" ht="14.25" customHeight="1" x14ac:dyDescent="0.2">
      <c r="A349" s="144">
        <v>35080</v>
      </c>
      <c r="C349" s="143">
        <f>HLOOKUP("start",ESLData!E$1:E$9960,MATCH($A349,ESLData!$B$1:$B$9960,0))</f>
        <v>16179.3</v>
      </c>
      <c r="E349" s="143">
        <f>HLOOKUP("start",ESLData!F$1:F$9960,MATCH($A349,ESLData!$B$1:$B$9960,0))</f>
        <v>10500</v>
      </c>
      <c r="G349" s="143">
        <f>HLOOKUP("start",ESLData!H$1:H$9960,MATCH($A349,ESLData!$B$1:$B$9960,0))</f>
        <v>11527.05</v>
      </c>
      <c r="J349" s="156" t="s">
        <v>987</v>
      </c>
      <c r="K349" s="142" t="str">
        <f>IF(ISNA(HLOOKUP("start",ESLData!C$1:C$9960,MATCH($A349,ESLData!$B$1:$B$9960,0))),"",HLOOKUP("start",ESLData!C$1:C$9960,MATCH($A349,ESLData!$B$1:$B$9960,0)))</f>
        <v>Staff Travel/Accomodation</v>
      </c>
    </row>
    <row r="350" spans="1:11" ht="14.25" customHeight="1" x14ac:dyDescent="0.2">
      <c r="A350" s="144">
        <v>35085</v>
      </c>
      <c r="C350" s="143">
        <f>HLOOKUP("start",ESLData!E$1:E$9960,MATCH($A350,ESLData!$B$1:$B$9960,0))</f>
        <v>0</v>
      </c>
      <c r="E350" s="143">
        <f>HLOOKUP("start",ESLData!F$1:F$9960,MATCH($A350,ESLData!$B$1:$B$9960,0))</f>
        <v>0</v>
      </c>
      <c r="G350" s="143">
        <f>HLOOKUP("start",ESLData!H$1:H$9960,MATCH($A350,ESLData!$B$1:$B$9960,0))</f>
        <v>0</v>
      </c>
      <c r="J350" s="156" t="s">
        <v>987</v>
      </c>
      <c r="K350" s="142" t="str">
        <f>IF(ISNA(HLOOKUP("start",ESLData!C$1:C$9960,MATCH($A350,ESLData!$B$1:$B$9960,0))),"",HLOOKUP("start",ESLData!C$1:C$9960,MATCH($A350,ESLData!$B$1:$B$9960,0)))</f>
        <v>Staffing</v>
      </c>
    </row>
    <row r="351" spans="1:11" ht="14.25" customHeight="1" x14ac:dyDescent="0.2">
      <c r="A351" s="144">
        <v>35086</v>
      </c>
      <c r="C351" s="143">
        <f>HLOOKUP("start",ESLData!E$1:E$9960,MATCH($A351,ESLData!$B$1:$B$9960,0))</f>
        <v>0</v>
      </c>
      <c r="E351" s="143">
        <f>HLOOKUP("start",ESLData!F$1:F$9960,MATCH($A351,ESLData!$B$1:$B$9960,0))</f>
        <v>0</v>
      </c>
      <c r="G351" s="143">
        <f>HLOOKUP("start",ESLData!H$1:H$9960,MATCH($A351,ESLData!$B$1:$B$9960,0))</f>
        <v>0</v>
      </c>
      <c r="J351" s="156" t="s">
        <v>987</v>
      </c>
      <c r="K351" s="142" t="str">
        <f>IF(ISNA(HLOOKUP("start",ESLData!C$1:C$9960,MATCH($A351,ESLData!$B$1:$B$9960,0))),"",HLOOKUP("start",ESLData!C$1:C$9960,MATCH($A351,ESLData!$B$1:$B$9960,0)))</f>
        <v>Outside Facilitation</v>
      </c>
    </row>
    <row r="352" spans="1:11" ht="14.25" customHeight="1" x14ac:dyDescent="0.2">
      <c r="A352" s="144">
        <v>35087</v>
      </c>
      <c r="C352" s="143">
        <f>HLOOKUP("start",ESLData!E$1:E$9960,MATCH($A352,ESLData!$B$1:$B$9960,0))</f>
        <v>0</v>
      </c>
      <c r="E352" s="143">
        <f>HLOOKUP("start",ESLData!F$1:F$9960,MATCH($A352,ESLData!$B$1:$B$9960,0))</f>
        <v>0</v>
      </c>
      <c r="G352" s="143">
        <f>HLOOKUP("start",ESLData!H$1:H$9960,MATCH($A352,ESLData!$B$1:$B$9960,0))</f>
        <v>0</v>
      </c>
      <c r="J352" s="156" t="s">
        <v>987</v>
      </c>
      <c r="K352" s="142" t="str">
        <f>IF(ISNA(HLOOKUP("start",ESLData!C$1:C$9960,MATCH($A352,ESLData!$B$1:$B$9960,0))),"",HLOOKUP("start",ESLData!C$1:C$9960,MATCH($A352,ESLData!$B$1:$B$9960,0)))</f>
        <v>Resource Making</v>
      </c>
    </row>
    <row r="353" spans="1:11" ht="14.25" customHeight="1" x14ac:dyDescent="0.2">
      <c r="A353" s="144">
        <v>35088</v>
      </c>
      <c r="C353" s="143">
        <f>HLOOKUP("start",ESLData!E$1:E$9960,MATCH($A353,ESLData!$B$1:$B$9960,0))</f>
        <v>0</v>
      </c>
      <c r="D353" s="148"/>
      <c r="E353" s="143">
        <f>HLOOKUP("start",ESLData!F$1:F$9960,MATCH($A353,ESLData!$B$1:$B$9960,0))</f>
        <v>0</v>
      </c>
      <c r="F353" s="148"/>
      <c r="G353" s="143">
        <f>HLOOKUP("start",ESLData!H$1:H$9960,MATCH($A353,ESLData!$B$1:$B$9960,0))</f>
        <v>0</v>
      </c>
      <c r="H353" s="148"/>
      <c r="J353" s="156" t="s">
        <v>987</v>
      </c>
      <c r="K353" s="142" t="str">
        <f>IF(ISNA(HLOOKUP("start",ESLData!C$1:C$9960,MATCH($A353,ESLData!$B$1:$B$9960,0))),"",HLOOKUP("start",ESLData!C$1:C$9960,MATCH($A353,ESLData!$B$1:$B$9960,0)))</f>
        <v>Telephone/tolls/fax</v>
      </c>
    </row>
    <row r="354" spans="1:11" ht="14.25" customHeight="1" x14ac:dyDescent="0.2">
      <c r="A354" s="144">
        <v>35089</v>
      </c>
      <c r="C354" s="143">
        <f>HLOOKUP("start",ESLData!E$1:E$9960,MATCH($A354,ESLData!$B$1:$B$9960,0))</f>
        <v>0</v>
      </c>
      <c r="D354" s="148"/>
      <c r="E354" s="143">
        <f>HLOOKUP("start",ESLData!F$1:F$9960,MATCH($A354,ESLData!$B$1:$B$9960,0))</f>
        <v>0</v>
      </c>
      <c r="F354" s="148"/>
      <c r="G354" s="143">
        <f>HLOOKUP("start",ESLData!H$1:H$9960,MATCH($A354,ESLData!$B$1:$B$9960,0))</f>
        <v>0</v>
      </c>
      <c r="H354" s="148"/>
      <c r="J354" s="156" t="s">
        <v>987</v>
      </c>
      <c r="K354" s="142" t="str">
        <f>IF(ISNA(HLOOKUP("start",ESLData!C$1:C$9960,MATCH($A354,ESLData!$B$1:$B$9960,0))),"",HLOOKUP("start",ESLData!C$1:C$9960,MATCH($A354,ESLData!$B$1:$B$9960,0)))</f>
        <v>Photocopying</v>
      </c>
    </row>
    <row r="355" spans="1:11" ht="14.25" customHeight="1" x14ac:dyDescent="0.2">
      <c r="A355" s="144">
        <v>35090</v>
      </c>
      <c r="C355" s="143">
        <f>HLOOKUP("start",ESLData!E$1:E$9960,MATCH($A355,ESLData!$B$1:$B$9960,0))</f>
        <v>0</v>
      </c>
      <c r="E355" s="143">
        <f>HLOOKUP("start",ESLData!F$1:F$9960,MATCH($A355,ESLData!$B$1:$B$9960,0))</f>
        <v>0</v>
      </c>
      <c r="F355" s="148"/>
      <c r="G355" s="143">
        <f>HLOOKUP("start",ESLData!H$1:H$9960,MATCH($A355,ESLData!$B$1:$B$9960,0))</f>
        <v>0</v>
      </c>
      <c r="J355" s="156" t="s">
        <v>987</v>
      </c>
      <c r="K355" s="142" t="str">
        <f>IF(ISNA(HLOOKUP("start",ESLData!C$1:C$9960,MATCH($A355,ESLData!$B$1:$B$9960,0))),"",HLOOKUP("start",ESLData!C$1:C$9960,MATCH($A355,ESLData!$B$1:$B$9960,0)))</f>
        <v>Printing/Stationery</v>
      </c>
    </row>
    <row r="356" spans="1:11" ht="14.25" customHeight="1" x14ac:dyDescent="0.2">
      <c r="A356" s="144">
        <v>35091</v>
      </c>
      <c r="C356" s="143">
        <f>HLOOKUP("start",ESLData!E$1:E$9960,MATCH($A356,ESLData!$B$1:$B$9960,0))</f>
        <v>-0.08</v>
      </c>
      <c r="E356" s="143">
        <f>HLOOKUP("start",ESLData!F$1:F$9960,MATCH($A356,ESLData!$B$1:$B$9960,0))</f>
        <v>0</v>
      </c>
      <c r="F356" s="148"/>
      <c r="G356" s="143">
        <f>HLOOKUP("start",ESLData!H$1:H$9960,MATCH($A356,ESLData!$B$1:$B$9960,0))</f>
        <v>0</v>
      </c>
      <c r="J356" s="156" t="s">
        <v>987</v>
      </c>
      <c r="K356" s="142" t="str">
        <f>IF(ISNA(HLOOKUP("start",ESLData!C$1:C$9960,MATCH($A356,ESLData!$B$1:$B$9960,0))),"",HLOOKUP("start",ESLData!C$1:C$9960,MATCH($A356,ESLData!$B$1:$B$9960,0)))</f>
        <v>Consumables</v>
      </c>
    </row>
    <row r="357" spans="1:11" ht="14.25" customHeight="1" x14ac:dyDescent="0.2">
      <c r="A357" s="144">
        <v>35092</v>
      </c>
      <c r="C357" s="143">
        <f>HLOOKUP("start",ESLData!E$1:E$9960,MATCH($A357,ESLData!$B$1:$B$9960,0))</f>
        <v>0</v>
      </c>
      <c r="E357" s="143">
        <f>HLOOKUP("start",ESLData!F$1:F$9960,MATCH($A357,ESLData!$B$1:$B$9960,0))</f>
        <v>0</v>
      </c>
      <c r="G357" s="143">
        <f>HLOOKUP("start",ESLData!H$1:H$9960,MATCH($A357,ESLData!$B$1:$B$9960,0))</f>
        <v>0</v>
      </c>
      <c r="J357" s="156" t="s">
        <v>987</v>
      </c>
      <c r="K357" s="142" t="str">
        <f>IF(ISNA(HLOOKUP("start",ESLData!C$1:C$9960,MATCH($A357,ESLData!$B$1:$B$9960,0))),"",HLOOKUP("start",ESLData!C$1:C$9960,MATCH($A357,ESLData!$B$1:$B$9960,0)))</f>
        <v>Publications</v>
      </c>
    </row>
    <row r="358" spans="1:11" ht="14.25" customHeight="1" x14ac:dyDescent="0.2">
      <c r="A358" s="144">
        <v>35093</v>
      </c>
      <c r="C358" s="143">
        <f>HLOOKUP("start",ESLData!E$1:E$9960,MATCH($A358,ESLData!$B$1:$B$9960,0))</f>
        <v>0</v>
      </c>
      <c r="E358" s="143">
        <f>HLOOKUP("start",ESLData!F$1:F$9960,MATCH($A358,ESLData!$B$1:$B$9960,0))</f>
        <v>0</v>
      </c>
      <c r="G358" s="143">
        <f>HLOOKUP("start",ESLData!H$1:H$9960,MATCH($A358,ESLData!$B$1:$B$9960,0))</f>
        <v>0</v>
      </c>
      <c r="J358" s="156" t="s">
        <v>987</v>
      </c>
      <c r="K358" s="142" t="str">
        <f>IF(ISNA(HLOOKUP("start",ESLData!C$1:C$9960,MATCH($A358,ESLData!$B$1:$B$9960,0))),"",HLOOKUP("start",ESLData!C$1:C$9960,MATCH($A358,ESLData!$B$1:$B$9960,0)))</f>
        <v>BLENNZ Staff PD</v>
      </c>
    </row>
    <row r="359" spans="1:11" ht="14.25" customHeight="1" x14ac:dyDescent="0.2">
      <c r="A359" s="144">
        <v>35094</v>
      </c>
      <c r="C359" s="143">
        <f>HLOOKUP("start",ESLData!E$1:E$9960,MATCH($A359,ESLData!$B$1:$B$9960,0))</f>
        <v>0</v>
      </c>
      <c r="E359" s="143">
        <f>HLOOKUP("start",ESLData!F$1:F$9960,MATCH($A359,ESLData!$B$1:$B$9960,0))</f>
        <v>0</v>
      </c>
      <c r="G359" s="143">
        <f>HLOOKUP("start",ESLData!H$1:H$9960,MATCH($A359,ESLData!$B$1:$B$9960,0))</f>
        <v>0</v>
      </c>
      <c r="J359" s="156" t="s">
        <v>987</v>
      </c>
      <c r="K359" s="142" t="str">
        <f>IF(ISNA(HLOOKUP("start",ESLData!C$1:C$9960,MATCH($A359,ESLData!$B$1:$B$9960,0))),"",HLOOKUP("start",ESLData!C$1:C$9960,MATCH($A359,ESLData!$B$1:$B$9960,0)))</f>
        <v>Koha</v>
      </c>
    </row>
    <row r="360" spans="1:11" ht="14.25" customHeight="1" x14ac:dyDescent="0.2">
      <c r="A360" s="144">
        <v>35095</v>
      </c>
      <c r="C360" s="143">
        <f>HLOOKUP("start",ESLData!E$1:E$9960,MATCH($A360,ESLData!$B$1:$B$9960,0))</f>
        <v>0</v>
      </c>
      <c r="E360" s="143">
        <f>HLOOKUP("start",ESLData!F$1:F$9960,MATCH($A360,ESLData!$B$1:$B$9960,0))</f>
        <v>0</v>
      </c>
      <c r="G360" s="143">
        <f>HLOOKUP("start",ESLData!H$1:H$9960,MATCH($A360,ESLData!$B$1:$B$9960,0))</f>
        <v>0</v>
      </c>
      <c r="J360" s="156" t="s">
        <v>987</v>
      </c>
      <c r="K360" s="142" t="str">
        <f>IF(ISNA(HLOOKUP("start",ESLData!C$1:C$9960,MATCH($A360,ESLData!$B$1:$B$9960,0))),"",HLOOKUP("start",ESLData!C$1:C$9960,MATCH($A360,ESLData!$B$1:$B$9960,0)))</f>
        <v>Maori Language Week</v>
      </c>
    </row>
    <row r="361" spans="1:11" ht="14.25" customHeight="1" x14ac:dyDescent="0.2">
      <c r="A361" s="144">
        <v>35096</v>
      </c>
      <c r="C361" s="143">
        <f>HLOOKUP("start",ESLData!E$1:E$9960,MATCH($A361,ESLData!$B$1:$B$9960,0))</f>
        <v>0</v>
      </c>
      <c r="E361" s="143">
        <f>HLOOKUP("start",ESLData!F$1:F$9960,MATCH($A361,ESLData!$B$1:$B$9960,0))</f>
        <v>0</v>
      </c>
      <c r="G361" s="143">
        <f>HLOOKUP("start",ESLData!H$1:H$9960,MATCH($A361,ESLData!$B$1:$B$9960,0))</f>
        <v>0</v>
      </c>
      <c r="J361" s="156" t="s">
        <v>987</v>
      </c>
      <c r="K361" s="142" t="str">
        <f>IF(ISNA(HLOOKUP("start",ESLData!C$1:C$9960,MATCH($A361,ESLData!$B$1:$B$9960,0))),"",HLOOKUP("start",ESLData!C$1:C$9960,MATCH($A361,ESLData!$B$1:$B$9960,0)))</f>
        <v>Staff Training/Conferences</v>
      </c>
    </row>
    <row r="362" spans="1:11" ht="14.25" customHeight="1" x14ac:dyDescent="0.2">
      <c r="A362" s="144">
        <v>35097</v>
      </c>
      <c r="C362" s="143">
        <f>HLOOKUP("start",ESLData!E$1:E$9960,MATCH($A362,ESLData!$B$1:$B$9960,0))</f>
        <v>0</v>
      </c>
      <c r="E362" s="143">
        <f>HLOOKUP("start",ESLData!F$1:F$9960,MATCH($A362,ESLData!$B$1:$B$9960,0))</f>
        <v>0</v>
      </c>
      <c r="G362" s="143">
        <f>HLOOKUP("start",ESLData!H$1:H$9960,MATCH($A362,ESLData!$B$1:$B$9960,0))</f>
        <v>0</v>
      </c>
      <c r="J362" s="156" t="s">
        <v>987</v>
      </c>
      <c r="K362" s="142" t="str">
        <f>IF(ISNA(HLOOKUP("start",ESLData!C$1:C$9960,MATCH($A362,ESLData!$B$1:$B$9960,0))),"",HLOOKUP("start",ESLData!C$1:C$9960,MATCH($A362,ESLData!$B$1:$B$9960,0)))</f>
        <v>Staff Travel/Accommodation</v>
      </c>
    </row>
    <row r="363" spans="1:11" ht="14.25" customHeight="1" x14ac:dyDescent="0.2">
      <c r="A363" s="144">
        <v>35110</v>
      </c>
      <c r="C363" s="143">
        <f>HLOOKUP("start",ESLData!E$1:E$9960,MATCH($A363,ESLData!$B$1:$B$9960,0))</f>
        <v>0</v>
      </c>
      <c r="E363" s="143">
        <f>HLOOKUP("start",ESLData!F$1:F$9960,MATCH($A363,ESLData!$B$1:$B$9960,0))</f>
        <v>0</v>
      </c>
      <c r="G363" s="143">
        <f>HLOOKUP("start",ESLData!H$1:H$9960,MATCH($A363,ESLData!$B$1:$B$9960,0))</f>
        <v>0</v>
      </c>
      <c r="J363" s="156" t="s">
        <v>987</v>
      </c>
      <c r="K363" s="142" t="str">
        <f>IF(ISNA(HLOOKUP("start",ESLData!C$1:C$9960,MATCH($A363,ESLData!$B$1:$B$9960,0))),"",HLOOKUP("start",ESLData!C$1:C$9960,MATCH($A363,ESLData!$B$1:$B$9960,0)))</f>
        <v>Auckland North - Telephone/Rental/Tolls</v>
      </c>
    </row>
    <row r="364" spans="1:11" ht="14.25" customHeight="1" x14ac:dyDescent="0.2">
      <c r="A364" s="144">
        <v>35135</v>
      </c>
      <c r="C364" s="143">
        <f>HLOOKUP("start",ESLData!E$1:E$9960,MATCH($A364,ESLData!$B$1:$B$9960,0))</f>
        <v>1820.3</v>
      </c>
      <c r="E364" s="143">
        <f>HLOOKUP("start",ESLData!F$1:F$9960,MATCH($A364,ESLData!$B$1:$B$9960,0))</f>
        <v>850</v>
      </c>
      <c r="G364" s="143">
        <f>HLOOKUP("start",ESLData!H$1:H$9960,MATCH($A364,ESLData!$B$1:$B$9960,0))</f>
        <v>1095.3599999999999</v>
      </c>
      <c r="J364" s="156" t="s">
        <v>987</v>
      </c>
      <c r="K364" s="142" t="str">
        <f>IF(ISNA(HLOOKUP("start",ESLData!C$1:C$9960,MATCH($A364,ESLData!$B$1:$B$9960,0))),"",HLOOKUP("start",ESLData!C$1:C$9960,MATCH($A364,ESLData!$B$1:$B$9960,0)))</f>
        <v>Auckland North - Photocopying</v>
      </c>
    </row>
    <row r="365" spans="1:11" ht="14.25" customHeight="1" x14ac:dyDescent="0.2">
      <c r="A365" s="144">
        <v>35140</v>
      </c>
      <c r="C365" s="143">
        <f>HLOOKUP("start",ESLData!E$1:E$9960,MATCH($A365,ESLData!$B$1:$B$9960,0))</f>
        <v>2555.66</v>
      </c>
      <c r="E365" s="143">
        <f>HLOOKUP("start",ESLData!F$1:F$9960,MATCH($A365,ESLData!$B$1:$B$9960,0))</f>
        <v>2000</v>
      </c>
      <c r="G365" s="143">
        <f>HLOOKUP("start",ESLData!H$1:H$9960,MATCH($A365,ESLData!$B$1:$B$9960,0))</f>
        <v>1719.7</v>
      </c>
      <c r="J365" s="156" t="s">
        <v>987</v>
      </c>
      <c r="K365" s="142" t="str">
        <f>IF(ISNA(HLOOKUP("start",ESLData!C$1:C$9960,MATCH($A365,ESLData!$B$1:$B$9960,0))),"",HLOOKUP("start",ESLData!C$1:C$9960,MATCH($A365,ESLData!$B$1:$B$9960,0)))</f>
        <v>Auckland North - Printing/Stationery</v>
      </c>
    </row>
    <row r="366" spans="1:11" ht="14.25" customHeight="1" x14ac:dyDescent="0.2">
      <c r="A366" s="144">
        <v>35145</v>
      </c>
      <c r="C366" s="143">
        <f>HLOOKUP("start",ESLData!E$1:E$9960,MATCH($A366,ESLData!$B$1:$B$9960,0))</f>
        <v>6265.59</v>
      </c>
      <c r="E366" s="143">
        <f>HLOOKUP("start",ESLData!F$1:F$9960,MATCH($A366,ESLData!$B$1:$B$9960,0))</f>
        <v>5000</v>
      </c>
      <c r="G366" s="143">
        <f>HLOOKUP("start",ESLData!H$1:H$9960,MATCH($A366,ESLData!$B$1:$B$9960,0))</f>
        <v>7897.7</v>
      </c>
      <c r="J366" s="156" t="s">
        <v>987</v>
      </c>
      <c r="K366" s="142" t="str">
        <f>IF(ISNA(HLOOKUP("start",ESLData!C$1:C$9960,MATCH($A366,ESLData!$B$1:$B$9960,0))),"",HLOOKUP("start",ESLData!C$1:C$9960,MATCH($A366,ESLData!$B$1:$B$9960,0)))</f>
        <v>Auckland North - Consumables</v>
      </c>
    </row>
    <row r="367" spans="1:11" ht="14.25" customHeight="1" x14ac:dyDescent="0.2">
      <c r="A367" s="144">
        <v>35150</v>
      </c>
      <c r="C367" s="143">
        <f>HLOOKUP("start",ESLData!E$1:E$9960,MATCH($A367,ESLData!$B$1:$B$9960,0))</f>
        <v>43.46</v>
      </c>
      <c r="E367" s="143">
        <f>HLOOKUP("start",ESLData!F$1:F$9960,MATCH($A367,ESLData!$B$1:$B$9960,0))</f>
        <v>0</v>
      </c>
      <c r="G367" s="143">
        <f>HLOOKUP("start",ESLData!H$1:H$9960,MATCH($A367,ESLData!$B$1:$B$9960,0))</f>
        <v>0</v>
      </c>
      <c r="J367" s="156" t="s">
        <v>987</v>
      </c>
      <c r="K367" s="142" t="str">
        <f>IF(ISNA(HLOOKUP("start",ESLData!C$1:C$9960,MATCH($A367,ESLData!$B$1:$B$9960,0))),"",HLOOKUP("start",ESLData!C$1:C$9960,MATCH($A367,ESLData!$B$1:$B$9960,0)))</f>
        <v>Auckland North - Publications</v>
      </c>
    </row>
    <row r="368" spans="1:11" ht="14.25" customHeight="1" x14ac:dyDescent="0.2">
      <c r="A368" s="144">
        <v>35155</v>
      </c>
      <c r="C368" s="143">
        <f>HLOOKUP("start",ESLData!E$1:E$9960,MATCH($A368,ESLData!$B$1:$B$9960,0))</f>
        <v>0</v>
      </c>
      <c r="E368" s="143">
        <f>HLOOKUP("start",ESLData!F$1:F$9960,MATCH($A368,ESLData!$B$1:$B$9960,0))</f>
        <v>0</v>
      </c>
      <c r="G368" s="143">
        <f>HLOOKUP("start",ESLData!H$1:H$9960,MATCH($A368,ESLData!$B$1:$B$9960,0))</f>
        <v>0</v>
      </c>
      <c r="J368" s="156" t="s">
        <v>987</v>
      </c>
      <c r="K368" s="142" t="str">
        <f>IF(ISNA(HLOOKUP("start",ESLData!C$1:C$9960,MATCH($A368,ESLData!$B$1:$B$9960,0))),"",HLOOKUP("start",ESLData!C$1:C$9960,MATCH($A368,ESLData!$B$1:$B$9960,0)))</f>
        <v>Auckland North - Subs/Membership Fees</v>
      </c>
    </row>
    <row r="369" spans="1:11" ht="14.25" customHeight="1" x14ac:dyDescent="0.2">
      <c r="A369" s="144">
        <v>35158</v>
      </c>
      <c r="C369" s="143">
        <f>HLOOKUP("start",ESLData!E$1:E$9960,MATCH($A369,ESLData!$B$1:$B$9960,0))</f>
        <v>1100.33</v>
      </c>
      <c r="E369" s="143">
        <f>HLOOKUP("start",ESLData!F$1:F$9960,MATCH($A369,ESLData!$B$1:$B$9960,0))</f>
        <v>1500</v>
      </c>
      <c r="G369" s="143">
        <f>HLOOKUP("start",ESLData!H$1:H$9960,MATCH($A369,ESLData!$B$1:$B$9960,0))</f>
        <v>1155.1500000000001</v>
      </c>
      <c r="J369" s="156" t="s">
        <v>987</v>
      </c>
      <c r="K369" s="142" t="str">
        <f>IF(ISNA(HLOOKUP("start",ESLData!C$1:C$9960,MATCH($A369,ESLData!$B$1:$B$9960,0))),"",HLOOKUP("start",ESLData!C$1:C$9960,MATCH($A369,ESLData!$B$1:$B$9960,0)))</f>
        <v>Auckland North - Resource Production</v>
      </c>
    </row>
    <row r="370" spans="1:11" ht="14.25" customHeight="1" x14ac:dyDescent="0.2">
      <c r="A370" s="144">
        <v>35161</v>
      </c>
      <c r="C370" s="143">
        <f>HLOOKUP("start",ESLData!E$1:E$9960,MATCH($A370,ESLData!$B$1:$B$9960,0))</f>
        <v>0</v>
      </c>
      <c r="E370" s="143">
        <f>HLOOKUP("start",ESLData!F$1:F$9960,MATCH($A370,ESLData!$B$1:$B$9960,0))</f>
        <v>0</v>
      </c>
      <c r="G370" s="143">
        <f>HLOOKUP("start",ESLData!H$1:H$9960,MATCH($A370,ESLData!$B$1:$B$9960,0))</f>
        <v>0</v>
      </c>
      <c r="J370" s="156" t="s">
        <v>987</v>
      </c>
      <c r="K370" s="142" t="str">
        <f>IF(ISNA(HLOOKUP("start",ESLData!C$1:C$9960,MATCH($A370,ESLData!$B$1:$B$9960,0))),"",HLOOKUP("start",ESLData!C$1:C$9960,MATCH($A370,ESLData!$B$1:$B$9960,0)))</f>
        <v>Telephone/Tolls/Fax</v>
      </c>
    </row>
    <row r="371" spans="1:11" ht="14.25" customHeight="1" x14ac:dyDescent="0.2">
      <c r="A371" s="144">
        <v>35162</v>
      </c>
      <c r="C371" s="143">
        <f>HLOOKUP("start",ESLData!E$1:E$9960,MATCH($A371,ESLData!$B$1:$B$9960,0))</f>
        <v>0</v>
      </c>
      <c r="E371" s="143">
        <f>HLOOKUP("start",ESLData!F$1:F$9960,MATCH($A371,ESLData!$B$1:$B$9960,0))</f>
        <v>0</v>
      </c>
      <c r="G371" s="143">
        <f>HLOOKUP("start",ESLData!H$1:H$9960,MATCH($A371,ESLData!$B$1:$B$9960,0))</f>
        <v>0</v>
      </c>
      <c r="J371" s="156" t="s">
        <v>987</v>
      </c>
      <c r="K371" s="142" t="str">
        <f>IF(ISNA(HLOOKUP("start",ESLData!C$1:C$9960,MATCH($A371,ESLData!$B$1:$B$9960,0))),"",HLOOKUP("start",ESLData!C$1:C$9960,MATCH($A371,ESLData!$B$1:$B$9960,0)))</f>
        <v>Photocopying</v>
      </c>
    </row>
    <row r="372" spans="1:11" ht="14.25" customHeight="1" x14ac:dyDescent="0.2">
      <c r="A372" s="144">
        <v>35163</v>
      </c>
      <c r="C372" s="143">
        <f>HLOOKUP("start",ESLData!E$1:E$9960,MATCH($A372,ESLData!$B$1:$B$9960,0))</f>
        <v>91.94</v>
      </c>
      <c r="E372" s="143">
        <f>HLOOKUP("start",ESLData!F$1:F$9960,MATCH($A372,ESLData!$B$1:$B$9960,0))</f>
        <v>200</v>
      </c>
      <c r="G372" s="143">
        <f>HLOOKUP("start",ESLData!H$1:H$9960,MATCH($A372,ESLData!$B$1:$B$9960,0))</f>
        <v>60.87</v>
      </c>
      <c r="J372" s="156" t="s">
        <v>987</v>
      </c>
      <c r="K372" s="142" t="str">
        <f>IF(ISNA(HLOOKUP("start",ESLData!C$1:C$9960,MATCH($A372,ESLData!$B$1:$B$9960,0))),"",HLOOKUP("start",ESLData!C$1:C$9960,MATCH($A372,ESLData!$B$1:$B$9960,0)))</f>
        <v>Printing/Stationery</v>
      </c>
    </row>
    <row r="373" spans="1:11" ht="14.25" customHeight="1" x14ac:dyDescent="0.2">
      <c r="A373" s="144">
        <v>35164</v>
      </c>
      <c r="C373" s="143">
        <f>HLOOKUP("start",ESLData!E$1:E$9960,MATCH($A373,ESLData!$B$1:$B$9960,0))</f>
        <v>843.15</v>
      </c>
      <c r="E373" s="143">
        <f>HLOOKUP("start",ESLData!F$1:F$9960,MATCH($A373,ESLData!$B$1:$B$9960,0))</f>
        <v>1200</v>
      </c>
      <c r="G373" s="143">
        <f>HLOOKUP("start",ESLData!H$1:H$9960,MATCH($A373,ESLData!$B$1:$B$9960,0))</f>
        <v>1172.5899999999999</v>
      </c>
      <c r="J373" s="156" t="s">
        <v>987</v>
      </c>
      <c r="K373" s="142" t="str">
        <f>IF(ISNA(HLOOKUP("start",ESLData!C$1:C$9960,MATCH($A373,ESLData!$B$1:$B$9960,0))),"",HLOOKUP("start",ESLData!C$1:C$9960,MATCH($A373,ESLData!$B$1:$B$9960,0)))</f>
        <v>Consumables</v>
      </c>
    </row>
    <row r="374" spans="1:11" ht="14.25" customHeight="1" x14ac:dyDescent="0.2">
      <c r="A374" s="144">
        <v>35166</v>
      </c>
      <c r="C374" s="143">
        <f>HLOOKUP("start",ESLData!E$1:E$9960,MATCH($A374,ESLData!$B$1:$B$9960,0))</f>
        <v>60.87</v>
      </c>
      <c r="E374" s="143">
        <f>HLOOKUP("start",ESLData!F$1:F$9960,MATCH($A374,ESLData!$B$1:$B$9960,0))</f>
        <v>0</v>
      </c>
      <c r="G374" s="143">
        <f>HLOOKUP("start",ESLData!H$1:H$9960,MATCH($A374,ESLData!$B$1:$B$9960,0))</f>
        <v>0</v>
      </c>
      <c r="J374" s="156" t="s">
        <v>987</v>
      </c>
      <c r="K374" s="142" t="str">
        <f>IF(ISNA(HLOOKUP("start",ESLData!C$1:C$9960,MATCH($A374,ESLData!$B$1:$B$9960,0))),"",HLOOKUP("start",ESLData!C$1:C$9960,MATCH($A374,ESLData!$B$1:$B$9960,0)))</f>
        <v>Publications</v>
      </c>
    </row>
    <row r="375" spans="1:11" ht="14.25" customHeight="1" x14ac:dyDescent="0.2">
      <c r="A375" s="144">
        <v>35168</v>
      </c>
      <c r="C375" s="143">
        <f>HLOOKUP("start",ESLData!E$1:E$9960,MATCH($A375,ESLData!$B$1:$B$9960,0))</f>
        <v>14970.6</v>
      </c>
      <c r="E375" s="143">
        <f>HLOOKUP("start",ESLData!F$1:F$9960,MATCH($A375,ESLData!$B$1:$B$9960,0))</f>
        <v>10000</v>
      </c>
      <c r="G375" s="143">
        <f>HLOOKUP("start",ESLData!H$1:H$9960,MATCH($A375,ESLData!$B$1:$B$9960,0))</f>
        <v>10965.36</v>
      </c>
      <c r="I375" s="152" t="s">
        <v>985</v>
      </c>
      <c r="K375" s="142" t="str">
        <f>IF(ISNA(HLOOKUP("start",ESLData!C$1:C$9960,MATCH($A375,ESLData!$B$1:$B$9960,0))),"",HLOOKUP("start",ESLData!C$1:C$9960,MATCH($A375,ESLData!$B$1:$B$9960,0)))</f>
        <v>Staff Travel/Accommodation</v>
      </c>
    </row>
    <row r="376" spans="1:11" ht="14.25" customHeight="1" x14ac:dyDescent="0.2">
      <c r="A376" s="144">
        <v>35172</v>
      </c>
      <c r="C376" s="143">
        <f>HLOOKUP("start",ESLData!E$1:E$9960,MATCH($A376,ESLData!$B$1:$B$9960,0))</f>
        <v>12831.57</v>
      </c>
      <c r="E376" s="143">
        <f>HLOOKUP("start",ESLData!F$1:F$9960,MATCH($A376,ESLData!$B$1:$B$9960,0))</f>
        <v>12000</v>
      </c>
      <c r="G376" s="143">
        <f>HLOOKUP("start",ESLData!H$1:H$9960,MATCH($A376,ESLData!$B$1:$B$9960,0))</f>
        <v>69.13</v>
      </c>
      <c r="J376" s="156" t="s">
        <v>987</v>
      </c>
      <c r="K376" s="142" t="str">
        <f>IF(ISNA(HLOOKUP("start",ESLData!C$1:C$9960,MATCH($A376,ESLData!$B$1:$B$9960,0))),"",HLOOKUP("start",ESLData!C$1:C$9960,MATCH($A376,ESLData!$B$1:$B$9960,0)))</f>
        <v>Lower Ni Regional Meetings</v>
      </c>
    </row>
    <row r="377" spans="1:11" ht="14.25" customHeight="1" x14ac:dyDescent="0.2">
      <c r="A377" s="144">
        <v>35173</v>
      </c>
      <c r="C377" s="143">
        <f>HLOOKUP("start",ESLData!E$1:E$9960,MATCH($A377,ESLData!$B$1:$B$9960,0))</f>
        <v>12842.9</v>
      </c>
      <c r="E377" s="143">
        <f>HLOOKUP("start",ESLData!F$1:F$9960,MATCH($A377,ESLData!$B$1:$B$9960,0))</f>
        <v>11000</v>
      </c>
      <c r="G377" s="143">
        <f>HLOOKUP("start",ESLData!H$1:H$9960,MATCH($A377,ESLData!$B$1:$B$9960,0))</f>
        <v>378.26</v>
      </c>
      <c r="J377" s="156" t="s">
        <v>987</v>
      </c>
      <c r="K377" s="142" t="str">
        <f>IF(ISNA(HLOOKUP("start",ESLData!C$1:C$9960,MATCH($A377,ESLData!$B$1:$B$9960,0))),"",HLOOKUP("start",ESLData!C$1:C$9960,MATCH($A377,ESLData!$B$1:$B$9960,0)))</f>
        <v>South Island Regional Meetings</v>
      </c>
    </row>
    <row r="378" spans="1:11" ht="14.25" customHeight="1" x14ac:dyDescent="0.2">
      <c r="A378" s="144">
        <v>35174</v>
      </c>
      <c r="C378" s="143">
        <f>HLOOKUP("start",ESLData!E$1:E$9960,MATCH($A378,ESLData!$B$1:$B$9960,0))</f>
        <v>0</v>
      </c>
      <c r="E378" s="143">
        <f>HLOOKUP("start",ESLData!F$1:F$9960,MATCH($A378,ESLData!$B$1:$B$9960,0))</f>
        <v>0</v>
      </c>
      <c r="G378" s="143">
        <f>HLOOKUP("start",ESLData!H$1:H$9960,MATCH($A378,ESLData!$B$1:$B$9960,0))</f>
        <v>0</v>
      </c>
      <c r="J378" s="156" t="s">
        <v>987</v>
      </c>
      <c r="K378" s="142" t="str">
        <f>IF(ISNA(HLOOKUP("start",ESLData!C$1:C$9960,MATCH($A378,ESLData!$B$1:$B$9960,0))),"",HLOOKUP("start",ESLData!C$1:C$9960,MATCH($A378,ESLData!$B$1:$B$9960,0)))</f>
        <v>Regional Network Staffing Oper</v>
      </c>
    </row>
    <row r="379" spans="1:11" ht="14.25" customHeight="1" x14ac:dyDescent="0.2">
      <c r="A379" s="144">
        <v>35175</v>
      </c>
      <c r="C379" s="143">
        <f>HLOOKUP("start",ESLData!E$1:E$9960,MATCH($A379,ESLData!$B$1:$B$9960,0))</f>
        <v>6785.16</v>
      </c>
      <c r="E379" s="143">
        <f>HLOOKUP("start",ESLData!F$1:F$9960,MATCH($A379,ESLData!$B$1:$B$9960,0))</f>
        <v>5500</v>
      </c>
      <c r="G379" s="143">
        <f>HLOOKUP("start",ESLData!H$1:H$9960,MATCH($A379,ESLData!$B$1:$B$9960,0))</f>
        <v>0</v>
      </c>
      <c r="J379" s="156" t="s">
        <v>987</v>
      </c>
      <c r="K379" s="142" t="str">
        <f>IF(ISNA(HLOOKUP("start",ESLData!C$1:C$9960,MATCH($A379,ESLData!$B$1:$B$9960,0))),"",HLOOKUP("start",ESLData!C$1:C$9960,MATCH($A379,ESLData!$B$1:$B$9960,0)))</f>
        <v>Upper Ni Regional Meetings</v>
      </c>
    </row>
    <row r="380" spans="1:11" ht="14.25" customHeight="1" x14ac:dyDescent="0.2">
      <c r="A380" s="144">
        <v>35176</v>
      </c>
      <c r="C380" s="143">
        <f>HLOOKUP("start",ESLData!E$1:E$9960,MATCH($A380,ESLData!$B$1:$B$9960,0))</f>
        <v>7787.83</v>
      </c>
      <c r="E380" s="143">
        <f>HLOOKUP("start",ESLData!F$1:F$9960,MATCH($A380,ESLData!$B$1:$B$9960,0))</f>
        <v>5500</v>
      </c>
      <c r="G380" s="143">
        <f>HLOOKUP("start",ESLData!H$1:H$9960,MATCH($A380,ESLData!$B$1:$B$9960,0))</f>
        <v>0</v>
      </c>
      <c r="J380" s="156" t="s">
        <v>987</v>
      </c>
      <c r="K380" s="142" t="str">
        <f>IF(ISNA(HLOOKUP("start",ESLData!C$1:C$9960,MATCH($A380,ESLData!$B$1:$B$9960,0))),"",HLOOKUP("start",ESLData!C$1:C$9960,MATCH($A380,ESLData!$B$1:$B$9960,0)))</f>
        <v>Ham-Tauranga Regional Meetings</v>
      </c>
    </row>
    <row r="381" spans="1:11" ht="14.25" customHeight="1" x14ac:dyDescent="0.2">
      <c r="A381" s="144">
        <v>35177</v>
      </c>
      <c r="C381" s="143">
        <f>HLOOKUP("start",ESLData!E$1:E$9960,MATCH($A381,ESLData!$B$1:$B$9960,0))</f>
        <v>16669.810000000001</v>
      </c>
      <c r="E381" s="143">
        <f>HLOOKUP("start",ESLData!F$1:F$9960,MATCH($A381,ESLData!$B$1:$B$9960,0))</f>
        <v>14000</v>
      </c>
      <c r="G381" s="143">
        <f>HLOOKUP("start",ESLData!H$1:H$9960,MATCH($A381,ESLData!$B$1:$B$9960,0))</f>
        <v>6450.22</v>
      </c>
      <c r="J381" s="156" t="s">
        <v>987</v>
      </c>
      <c r="K381" s="142" t="str">
        <f>IF(ISNA(HLOOKUP("start",ESLData!C$1:C$9960,MATCH($A381,ESLData!$B$1:$B$9960,0))),"",HLOOKUP("start",ESLData!C$1:C$9960,MATCH($A381,ESLData!$B$1:$B$9960,0)))</f>
        <v>VRC Managers</v>
      </c>
    </row>
    <row r="382" spans="1:11" ht="14.25" customHeight="1" x14ac:dyDescent="0.2">
      <c r="A382" s="144">
        <v>35178</v>
      </c>
      <c r="C382" s="143">
        <f>HLOOKUP("start",ESLData!E$1:E$9960,MATCH($A382,ESLData!$B$1:$B$9960,0))</f>
        <v>75094.789999999994</v>
      </c>
      <c r="E382" s="143">
        <f>HLOOKUP("start",ESLData!F$1:F$9960,MATCH($A382,ESLData!$B$1:$B$9960,0))</f>
        <v>75000</v>
      </c>
      <c r="G382" s="143">
        <f>HLOOKUP("start",ESLData!H$1:H$9960,MATCH($A382,ESLData!$B$1:$B$9960,0))</f>
        <v>78125.119999999995</v>
      </c>
      <c r="J382" s="156" t="s">
        <v>987</v>
      </c>
      <c r="K382" s="142" t="str">
        <f>IF(ISNA(HLOOKUP("start",ESLData!C$1:C$9960,MATCH($A382,ESLData!$B$1:$B$9960,0))),"",HLOOKUP("start",ESLData!C$1:C$9960,MATCH($A382,ESLData!$B$1:$B$9960,0)))</f>
        <v>VRC Property Costs</v>
      </c>
    </row>
    <row r="383" spans="1:11" ht="14.25" customHeight="1" x14ac:dyDescent="0.2">
      <c r="A383" s="144">
        <v>35179</v>
      </c>
      <c r="C383" s="143">
        <f>HLOOKUP("start",ESLData!E$1:E$9960,MATCH($A383,ESLData!$B$1:$B$9960,0))</f>
        <v>38364.620000000003</v>
      </c>
      <c r="E383" s="143">
        <f>HLOOKUP("start",ESLData!F$1:F$9960,MATCH($A383,ESLData!$B$1:$B$9960,0))</f>
        <v>38000</v>
      </c>
      <c r="G383" s="143">
        <f>HLOOKUP("start",ESLData!H$1:H$9960,MATCH($A383,ESLData!$B$1:$B$9960,0))</f>
        <v>39024.720000000001</v>
      </c>
      <c r="J383" s="156" t="s">
        <v>987</v>
      </c>
      <c r="K383" s="142" t="str">
        <f>IF(ISNA(HLOOKUP("start",ESLData!C$1:C$9960,MATCH($A383,ESLData!$B$1:$B$9960,0))),"",HLOOKUP("start",ESLData!C$1:C$9960,MATCH($A383,ESLData!$B$1:$B$9960,0)))</f>
        <v>VRC Offsite Parking Costs</v>
      </c>
    </row>
    <row r="384" spans="1:11" ht="14.25" customHeight="1" x14ac:dyDescent="0.2">
      <c r="A384" s="144">
        <v>35180</v>
      </c>
      <c r="C384" s="143">
        <f>HLOOKUP("start",ESLData!E$1:E$9960,MATCH($A384,ESLData!$B$1:$B$9960,0))</f>
        <v>18.13</v>
      </c>
      <c r="E384" s="143">
        <f>HLOOKUP("start",ESLData!F$1:F$9960,MATCH($A384,ESLData!$B$1:$B$9960,0))</f>
        <v>0</v>
      </c>
      <c r="G384" s="143">
        <f>HLOOKUP("start",ESLData!H$1:H$9960,MATCH($A384,ESLData!$B$1:$B$9960,0))</f>
        <v>11.16</v>
      </c>
      <c r="J384" s="156" t="s">
        <v>987</v>
      </c>
      <c r="K384" s="142" t="str">
        <f>IF(ISNA(HLOOKUP("start",ESLData!C$1:C$9960,MATCH($A384,ESLData!$B$1:$B$9960,0))),"",HLOOKUP("start",ESLData!C$1:C$9960,MATCH($A384,ESLData!$B$1:$B$9960,0)))</f>
        <v>Postage</v>
      </c>
    </row>
    <row r="385" spans="1:11" ht="14.25" customHeight="1" x14ac:dyDescent="0.2">
      <c r="A385" s="144">
        <v>35181</v>
      </c>
      <c r="C385" s="143">
        <f>HLOOKUP("start",ESLData!E$1:E$9960,MATCH($A385,ESLData!$B$1:$B$9960,0))</f>
        <v>0</v>
      </c>
      <c r="E385" s="143">
        <f>HLOOKUP("start",ESLData!F$1:F$9960,MATCH($A385,ESLData!$B$1:$B$9960,0))</f>
        <v>0</v>
      </c>
      <c r="G385" s="143">
        <f>HLOOKUP("start",ESLData!H$1:H$9960,MATCH($A385,ESLData!$B$1:$B$9960,0))</f>
        <v>0</v>
      </c>
      <c r="J385" s="156" t="s">
        <v>987</v>
      </c>
      <c r="K385" s="142" t="str">
        <f>IF(ISNA(HLOOKUP("start",ESLData!C$1:C$9960,MATCH($A385,ESLData!$B$1:$B$9960,0))),"",HLOOKUP("start",ESLData!C$1:C$9960,MATCH($A385,ESLData!$B$1:$B$9960,0)))</f>
        <v>Telephone</v>
      </c>
    </row>
    <row r="386" spans="1:11" ht="14.25" customHeight="1" x14ac:dyDescent="0.2">
      <c r="A386" s="144">
        <v>35182</v>
      </c>
      <c r="C386" s="143">
        <f>HLOOKUP("start",ESLData!E$1:E$9960,MATCH($A386,ESLData!$B$1:$B$9960,0))</f>
        <v>197</v>
      </c>
      <c r="E386" s="143">
        <f>HLOOKUP("start",ESLData!F$1:F$9960,MATCH($A386,ESLData!$B$1:$B$9960,0))</f>
        <v>0</v>
      </c>
      <c r="G386" s="143">
        <f>HLOOKUP("start",ESLData!H$1:H$9960,MATCH($A386,ESLData!$B$1:$B$9960,0))</f>
        <v>0</v>
      </c>
      <c r="J386" s="156" t="s">
        <v>987</v>
      </c>
      <c r="K386" s="142" t="str">
        <f>IF(ISNA(HLOOKUP("start",ESLData!C$1:C$9960,MATCH($A386,ESLData!$B$1:$B$9960,0))),"",HLOOKUP("start",ESLData!C$1:C$9960,MATCH($A386,ESLData!$B$1:$B$9960,0)))</f>
        <v>Photocopying</v>
      </c>
    </row>
    <row r="387" spans="1:11" ht="14.25" customHeight="1" x14ac:dyDescent="0.2">
      <c r="A387" s="144">
        <v>35183</v>
      </c>
      <c r="C387" s="143">
        <f>HLOOKUP("start",ESLData!E$1:E$9960,MATCH($A387,ESLData!$B$1:$B$9960,0))</f>
        <v>0</v>
      </c>
      <c r="E387" s="143">
        <f>HLOOKUP("start",ESLData!F$1:F$9960,MATCH($A387,ESLData!$B$1:$B$9960,0))</f>
        <v>0</v>
      </c>
      <c r="G387" s="143">
        <f>HLOOKUP("start",ESLData!H$1:H$9960,MATCH($A387,ESLData!$B$1:$B$9960,0))</f>
        <v>0</v>
      </c>
      <c r="J387" s="156" t="s">
        <v>987</v>
      </c>
      <c r="K387" s="142" t="str">
        <f>IF(ISNA(HLOOKUP("start",ESLData!C$1:C$9960,MATCH($A387,ESLData!$B$1:$B$9960,0))),"",HLOOKUP("start",ESLData!C$1:C$9960,MATCH($A387,ESLData!$B$1:$B$9960,0)))</f>
        <v>Printing / Stationery</v>
      </c>
    </row>
    <row r="388" spans="1:11" ht="14.25" customHeight="1" x14ac:dyDescent="0.2">
      <c r="A388" s="144">
        <v>35184</v>
      </c>
      <c r="C388" s="143">
        <f>HLOOKUP("start",ESLData!E$1:E$9960,MATCH($A388,ESLData!$B$1:$B$9960,0))</f>
        <v>477.07</v>
      </c>
      <c r="E388" s="143">
        <f>HLOOKUP("start",ESLData!F$1:F$9960,MATCH($A388,ESLData!$B$1:$B$9960,0))</f>
        <v>800</v>
      </c>
      <c r="G388" s="143">
        <f>HLOOKUP("start",ESLData!H$1:H$9960,MATCH($A388,ESLData!$B$1:$B$9960,0))</f>
        <v>714.68</v>
      </c>
      <c r="J388" s="156" t="s">
        <v>987</v>
      </c>
      <c r="K388" s="142" t="str">
        <f>IF(ISNA(HLOOKUP("start",ESLData!C$1:C$9960,MATCH($A388,ESLData!$B$1:$B$9960,0))),"",HLOOKUP("start",ESLData!C$1:C$9960,MATCH($A388,ESLData!$B$1:$B$9960,0)))</f>
        <v>Consumables</v>
      </c>
    </row>
    <row r="389" spans="1:11" ht="14.25" customHeight="1" x14ac:dyDescent="0.2">
      <c r="A389" s="144">
        <v>35185</v>
      </c>
      <c r="C389" s="143">
        <f>HLOOKUP("start",ESLData!E$1:E$9960,MATCH($A389,ESLData!$B$1:$B$9960,0))</f>
        <v>0</v>
      </c>
      <c r="E389" s="143">
        <f>HLOOKUP("start",ESLData!F$1:F$9960,MATCH($A389,ESLData!$B$1:$B$9960,0))</f>
        <v>0</v>
      </c>
      <c r="G389" s="143">
        <f>HLOOKUP("start",ESLData!H$1:H$9960,MATCH($A389,ESLData!$B$1:$B$9960,0))</f>
        <v>0</v>
      </c>
      <c r="I389" s="152" t="s">
        <v>985</v>
      </c>
      <c r="K389" s="142" t="str">
        <f>IF(ISNA(HLOOKUP("start",ESLData!C$1:C$9960,MATCH($A389,ESLData!$B$1:$B$9960,0))),"",HLOOKUP("start",ESLData!C$1:C$9960,MATCH($A389,ESLData!$B$1:$B$9960,0)))</f>
        <v>Publications</v>
      </c>
    </row>
    <row r="390" spans="1:11" ht="14.25" customHeight="1" x14ac:dyDescent="0.2">
      <c r="A390" s="144">
        <v>35186</v>
      </c>
      <c r="C390" s="143">
        <f>HLOOKUP("start",ESLData!E$1:E$9960,MATCH($A390,ESLData!$B$1:$B$9960,0))</f>
        <v>0</v>
      </c>
      <c r="E390" s="143">
        <f>HLOOKUP("start",ESLData!F$1:F$9960,MATCH($A390,ESLData!$B$1:$B$9960,0))</f>
        <v>0</v>
      </c>
      <c r="G390" s="143">
        <f>HLOOKUP("start",ESLData!H$1:H$9960,MATCH($A390,ESLData!$B$1:$B$9960,0))</f>
        <v>0</v>
      </c>
      <c r="J390" s="156" t="s">
        <v>987</v>
      </c>
      <c r="K390" s="142" t="str">
        <f>IF(ISNA(HLOOKUP("start",ESLData!C$1:C$9960,MATCH($A390,ESLData!$B$1:$B$9960,0))),"",HLOOKUP("start",ESLData!C$1:C$9960,MATCH($A390,ESLData!$B$1:$B$9960,0)))</f>
        <v>Subs / Membership Fees</v>
      </c>
    </row>
    <row r="391" spans="1:11" ht="14.25" customHeight="1" x14ac:dyDescent="0.2">
      <c r="A391" s="144">
        <v>35188</v>
      </c>
      <c r="C391" s="143">
        <f>HLOOKUP("start",ESLData!E$1:E$9960,MATCH($A391,ESLData!$B$1:$B$9960,0))</f>
        <v>9868.6200000000008</v>
      </c>
      <c r="E391" s="143">
        <f>HLOOKUP("start",ESLData!F$1:F$9960,MATCH($A391,ESLData!$B$1:$B$9960,0))</f>
        <v>10000</v>
      </c>
      <c r="G391" s="143">
        <f>HLOOKUP("start",ESLData!H$1:H$9960,MATCH($A391,ESLData!$B$1:$B$9960,0))</f>
        <v>6321.36</v>
      </c>
      <c r="J391" s="156" t="s">
        <v>987</v>
      </c>
      <c r="K391" s="142" t="str">
        <f>IF(ISNA(HLOOKUP("start",ESLData!C$1:C$9960,MATCH($A391,ESLData!$B$1:$B$9960,0))),"",HLOOKUP("start",ESLData!C$1:C$9960,MATCH($A391,ESLData!$B$1:$B$9960,0)))</f>
        <v>Staff Travel / Accommodation</v>
      </c>
    </row>
    <row r="392" spans="1:11" ht="14.25" customHeight="1" x14ac:dyDescent="0.2">
      <c r="A392" s="144">
        <v>35191</v>
      </c>
      <c r="C392" s="143">
        <f>HLOOKUP("start",ESLData!E$1:E$9960,MATCH($A392,ESLData!$B$1:$B$9960,0))</f>
        <v>0</v>
      </c>
      <c r="E392" s="143">
        <f>HLOOKUP("start",ESLData!F$1:F$9960,MATCH($A392,ESLData!$B$1:$B$9960,0))</f>
        <v>0</v>
      </c>
      <c r="G392" s="143">
        <f>HLOOKUP("start",ESLData!H$1:H$9960,MATCH($A392,ESLData!$B$1:$B$9960,0))</f>
        <v>0</v>
      </c>
      <c r="J392" s="156" t="s">
        <v>987</v>
      </c>
      <c r="K392" s="142" t="str">
        <f>IF(ISNA(HLOOKUP("start",ESLData!C$1:C$9960,MATCH($A392,ESLData!$B$1:$B$9960,0))),"",HLOOKUP("start",ESLData!C$1:C$9960,MATCH($A392,ESLData!$B$1:$B$9960,0)))</f>
        <v>VRC Offsite Parking costs</v>
      </c>
    </row>
    <row r="393" spans="1:11" ht="14.25" customHeight="1" x14ac:dyDescent="0.2">
      <c r="A393" s="144">
        <v>35193</v>
      </c>
      <c r="C393" s="143">
        <f>HLOOKUP("start",ESLData!E$1:E$9960,MATCH($A393,ESLData!$B$1:$B$9960,0))</f>
        <v>685.04</v>
      </c>
      <c r="E393" s="143">
        <f>HLOOKUP("start",ESLData!F$1:F$9960,MATCH($A393,ESLData!$B$1:$B$9960,0))</f>
        <v>550</v>
      </c>
      <c r="G393" s="143">
        <f>HLOOKUP("start",ESLData!H$1:H$9960,MATCH($A393,ESLData!$B$1:$B$9960,0))</f>
        <v>665.38</v>
      </c>
      <c r="J393" s="156" t="s">
        <v>987</v>
      </c>
      <c r="K393" s="142" t="str">
        <f>IF(ISNA(HLOOKUP("start",ESLData!C$1:C$9960,MATCH($A393,ESLData!$B$1:$B$9960,0))),"",HLOOKUP("start",ESLData!C$1:C$9960,MATCH($A393,ESLData!$B$1:$B$9960,0)))</f>
        <v>VRC Toll Road Charges</v>
      </c>
    </row>
    <row r="394" spans="1:11" ht="14.25" customHeight="1" x14ac:dyDescent="0.2">
      <c r="A394" s="144">
        <v>35203</v>
      </c>
      <c r="C394" s="143">
        <f>HLOOKUP("start",ESLData!E$1:E$9960,MATCH($A394,ESLData!$B$1:$B$9960,0))</f>
        <v>530.42999999999995</v>
      </c>
      <c r="E394" s="143">
        <f>HLOOKUP("start",ESLData!F$1:F$9960,MATCH($A394,ESLData!$B$1:$B$9960,0))</f>
        <v>4200</v>
      </c>
      <c r="G394" s="143">
        <f>HLOOKUP("start",ESLData!H$1:H$9960,MATCH($A394,ESLData!$B$1:$B$9960,0))</f>
        <v>3241.09</v>
      </c>
      <c r="J394" s="156" t="s">
        <v>987</v>
      </c>
      <c r="K394" s="142" t="str">
        <f>IF(ISNA(HLOOKUP("start",ESLData!C$1:C$9960,MATCH($A394,ESLData!$B$1:$B$9960,0))),"",HLOOKUP("start",ESLData!C$1:C$9960,MATCH($A394,ESLData!$B$1:$B$9960,0)))</f>
        <v>Assistive Technology Group</v>
      </c>
    </row>
    <row r="395" spans="1:11" ht="14.25" customHeight="1" x14ac:dyDescent="0.2">
      <c r="A395" s="144">
        <v>35205</v>
      </c>
      <c r="C395" s="143">
        <f>HLOOKUP("start",ESLData!E$1:E$9960,MATCH($A395,ESLData!$B$1:$B$9960,0))</f>
        <v>0</v>
      </c>
      <c r="E395" s="143">
        <f>HLOOKUP("start",ESLData!F$1:F$9960,MATCH($A395,ESLData!$B$1:$B$9960,0))</f>
        <v>0</v>
      </c>
      <c r="G395" s="143">
        <f>HLOOKUP("start",ESLData!H$1:H$9960,MATCH($A395,ESLData!$B$1:$B$9960,0))</f>
        <v>0</v>
      </c>
      <c r="J395" s="156" t="s">
        <v>987</v>
      </c>
      <c r="K395" s="142" t="str">
        <f>IF(ISNA(HLOOKUP("start",ESLData!C$1:C$9960,MATCH($A395,ESLData!$B$1:$B$9960,0))),"",HLOOKUP("start",ESLData!C$1:C$9960,MATCH($A395,ESLData!$B$1:$B$9960,0)))</f>
        <v>Recruitment</v>
      </c>
    </row>
    <row r="396" spans="1:11" ht="14.25" customHeight="1" x14ac:dyDescent="0.2">
      <c r="A396" s="144">
        <v>35206</v>
      </c>
      <c r="C396" s="143">
        <f>HLOOKUP("start",ESLData!E$1:E$9960,MATCH($A396,ESLData!$B$1:$B$9960,0))</f>
        <v>0</v>
      </c>
      <c r="E396" s="143">
        <f>HLOOKUP("start",ESLData!F$1:F$9960,MATCH($A396,ESLData!$B$1:$B$9960,0))</f>
        <v>0</v>
      </c>
      <c r="G396" s="143">
        <f>HLOOKUP("start",ESLData!H$1:H$9960,MATCH($A396,ESLData!$B$1:$B$9960,0))</f>
        <v>0</v>
      </c>
      <c r="J396" s="156"/>
    </row>
    <row r="397" spans="1:11" ht="14.25" customHeight="1" x14ac:dyDescent="0.2">
      <c r="A397" s="144">
        <v>35220</v>
      </c>
      <c r="C397" s="143">
        <f>HLOOKUP("start",ESLData!E$1:E$9960,MATCH($A397,ESLData!$B$1:$B$9960,0))</f>
        <v>1966.64</v>
      </c>
      <c r="E397" s="143">
        <f>HLOOKUP("start",ESLData!F$1:F$9960,MATCH($A397,ESLData!$B$1:$B$9960,0))</f>
        <v>2000</v>
      </c>
      <c r="G397" s="143">
        <f>HLOOKUP("start",ESLData!H$1:H$9960,MATCH($A397,ESLData!$B$1:$B$9960,0))</f>
        <v>898.13</v>
      </c>
      <c r="I397" s="152" t="s">
        <v>985</v>
      </c>
      <c r="K397" s="142" t="str">
        <f>IF(ISNA(HLOOKUP("start",ESLData!C$1:C$9960,MATCH($A397,ESLData!$B$1:$B$9960,0))),"",HLOOKUP("start",ESLData!C$1:C$9960,MATCH($A397,ESLData!$B$1:$B$9960,0)))</f>
        <v>Staff Travel &amp; Accomodation</v>
      </c>
    </row>
    <row r="398" spans="1:11" ht="14.25" customHeight="1" x14ac:dyDescent="0.2">
      <c r="A398" s="144">
        <v>35230</v>
      </c>
      <c r="C398" s="143">
        <f>HLOOKUP("start",ESLData!E$1:E$9960,MATCH($A398,ESLData!$B$1:$B$9960,0))</f>
        <v>5938.93</v>
      </c>
      <c r="E398" s="143">
        <f>HLOOKUP("start",ESLData!F$1:F$9960,MATCH($A398,ESLData!$B$1:$B$9960,0))</f>
        <v>8000</v>
      </c>
      <c r="G398" s="143">
        <f>HLOOKUP("start",ESLData!H$1:H$9960,MATCH($A398,ESLData!$B$1:$B$9960,0))</f>
        <v>5822.98</v>
      </c>
      <c r="J398" s="156" t="s">
        <v>987</v>
      </c>
      <c r="K398" s="142" t="str">
        <f>IF(ISNA(HLOOKUP("start",ESLData!C$1:C$9960,MATCH($A398,ESLData!$B$1:$B$9960,0))),"",HLOOKUP("start",ESLData!C$1:C$9960,MATCH($A398,ESLData!$B$1:$B$9960,0)))</f>
        <v>Petrol</v>
      </c>
    </row>
    <row r="399" spans="1:11" ht="14.25" customHeight="1" x14ac:dyDescent="0.2">
      <c r="A399" s="144">
        <v>35305</v>
      </c>
      <c r="C399" s="143">
        <f>HLOOKUP("start",ESLData!E$1:E$9960,MATCH($A399,ESLData!$B$1:$B$9960,0))</f>
        <v>0</v>
      </c>
      <c r="E399" s="143">
        <f>HLOOKUP("start",ESLData!F$1:F$9960,MATCH($A399,ESLData!$B$1:$B$9960,0))</f>
        <v>0</v>
      </c>
      <c r="G399" s="143">
        <f>HLOOKUP("start",ESLData!H$1:H$9960,MATCH($A399,ESLData!$B$1:$B$9960,0))</f>
        <v>0</v>
      </c>
      <c r="J399" s="156" t="s">
        <v>987</v>
      </c>
      <c r="K399" s="142" t="str">
        <f>IF(ISNA(HLOOKUP("start",ESLData!C$1:C$9960,MATCH($A399,ESLData!$B$1:$B$9960,0))),"",HLOOKUP("start",ESLData!C$1:C$9960,MATCH($A399,ESLData!$B$1:$B$9960,0)))</f>
        <v>Telephone Rental/ Tolls/ Fax</v>
      </c>
    </row>
    <row r="400" spans="1:11" ht="14.25" customHeight="1" x14ac:dyDescent="0.2">
      <c r="A400" s="144">
        <v>35330</v>
      </c>
      <c r="C400" s="143">
        <f>HLOOKUP("start",ESLData!E$1:E$9960,MATCH($A400,ESLData!$B$1:$B$9960,0))</f>
        <v>564.38</v>
      </c>
      <c r="E400" s="143">
        <f>HLOOKUP("start",ESLData!F$1:F$9960,MATCH($A400,ESLData!$B$1:$B$9960,0))</f>
        <v>450</v>
      </c>
      <c r="G400" s="143">
        <f>HLOOKUP("start",ESLData!H$1:H$9960,MATCH($A400,ESLData!$B$1:$B$9960,0))</f>
        <v>558.95000000000005</v>
      </c>
      <c r="J400" s="156" t="s">
        <v>987</v>
      </c>
      <c r="K400" s="142" t="str">
        <f>IF(ISNA(HLOOKUP("start",ESLData!C$1:C$9960,MATCH($A400,ESLData!$B$1:$B$9960,0))),"",HLOOKUP("start",ESLData!C$1:C$9960,MATCH($A400,ESLData!$B$1:$B$9960,0)))</f>
        <v>Nelson - Photocopying</v>
      </c>
    </row>
    <row r="401" spans="1:11" ht="14.25" customHeight="1" x14ac:dyDescent="0.2">
      <c r="A401" s="144">
        <v>35335</v>
      </c>
      <c r="C401" s="143">
        <f>HLOOKUP("start",ESLData!E$1:E$9960,MATCH($A401,ESLData!$B$1:$B$9960,0))</f>
        <v>839.92</v>
      </c>
      <c r="E401" s="143">
        <f>HLOOKUP("start",ESLData!F$1:F$9960,MATCH($A401,ESLData!$B$1:$B$9960,0))</f>
        <v>750</v>
      </c>
      <c r="G401" s="143">
        <f>HLOOKUP("start",ESLData!H$1:H$9960,MATCH($A401,ESLData!$B$1:$B$9960,0))</f>
        <v>714.12</v>
      </c>
      <c r="J401" s="156" t="s">
        <v>987</v>
      </c>
      <c r="K401" s="142" t="str">
        <f>IF(ISNA(HLOOKUP("start",ESLData!C$1:C$9960,MATCH($A401,ESLData!$B$1:$B$9960,0))),"",HLOOKUP("start",ESLData!C$1:C$9960,MATCH($A401,ESLData!$B$1:$B$9960,0)))</f>
        <v>Nelson - Printing &amp; Stationery</v>
      </c>
    </row>
    <row r="402" spans="1:11" ht="14.25" customHeight="1" x14ac:dyDescent="0.2">
      <c r="A402" s="144">
        <v>35340</v>
      </c>
      <c r="C402" s="143">
        <f>HLOOKUP("start",ESLData!E$1:E$9960,MATCH($A402,ESLData!$B$1:$B$9960,0))</f>
        <v>3722.65</v>
      </c>
      <c r="E402" s="143">
        <f>HLOOKUP("start",ESLData!F$1:F$9960,MATCH($A402,ESLData!$B$1:$B$9960,0))</f>
        <v>2500</v>
      </c>
      <c r="G402" s="143">
        <f>HLOOKUP("start",ESLData!H$1:H$9960,MATCH($A402,ESLData!$B$1:$B$9960,0))</f>
        <v>2544.11</v>
      </c>
      <c r="I402" s="152" t="s">
        <v>985</v>
      </c>
      <c r="K402" s="142" t="str">
        <f>IF(ISNA(HLOOKUP("start",ESLData!C$1:C$9960,MATCH($A402,ESLData!$B$1:$B$9960,0))),"",HLOOKUP("start",ESLData!C$1:C$9960,MATCH($A402,ESLData!$B$1:$B$9960,0)))</f>
        <v>Nelson - Consumables</v>
      </c>
    </row>
    <row r="403" spans="1:11" ht="14.25" customHeight="1" x14ac:dyDescent="0.2">
      <c r="A403" s="144">
        <v>35350</v>
      </c>
      <c r="C403" s="143">
        <f>HLOOKUP("start",ESLData!E$1:E$9960,MATCH($A403,ESLData!$B$1:$B$9960,0))</f>
        <v>0</v>
      </c>
      <c r="E403" s="143">
        <f>HLOOKUP("start",ESLData!F$1:F$9960,MATCH($A403,ESLData!$B$1:$B$9960,0))</f>
        <v>0</v>
      </c>
      <c r="G403" s="143">
        <f>HLOOKUP("start",ESLData!H$1:H$9960,MATCH($A403,ESLData!$B$1:$B$9960,0))</f>
        <v>0</v>
      </c>
      <c r="J403" s="156" t="s">
        <v>987</v>
      </c>
      <c r="K403" s="142" t="str">
        <f>IF(ISNA(HLOOKUP("start",ESLData!C$1:C$9960,MATCH($A403,ESLData!$B$1:$B$9960,0))),"",HLOOKUP("start",ESLData!C$1:C$9960,MATCH($A403,ESLData!$B$1:$B$9960,0)))</f>
        <v>Nelson - Subs/ Membership Fees</v>
      </c>
    </row>
    <row r="404" spans="1:11" ht="14.25" customHeight="1" x14ac:dyDescent="0.2">
      <c r="A404" s="144">
        <v>35360</v>
      </c>
      <c r="C404" s="143">
        <f>HLOOKUP("start",ESLData!E$1:E$9960,MATCH($A404,ESLData!$B$1:$B$9960,0))</f>
        <v>340.02</v>
      </c>
      <c r="E404" s="143">
        <f>HLOOKUP("start",ESLData!F$1:F$9960,MATCH($A404,ESLData!$B$1:$B$9960,0))</f>
        <v>500</v>
      </c>
      <c r="G404" s="143">
        <f>HLOOKUP("start",ESLData!H$1:H$9960,MATCH($A404,ESLData!$B$1:$B$9960,0))</f>
        <v>425.69</v>
      </c>
      <c r="J404" s="156" t="s">
        <v>987</v>
      </c>
      <c r="K404" s="142" t="str">
        <f>IF(ISNA(HLOOKUP("start",ESLData!C$1:C$9960,MATCH($A404,ESLData!$B$1:$B$9960,0))),"",HLOOKUP("start",ESLData!C$1:C$9960,MATCH($A404,ESLData!$B$1:$B$9960,0)))</f>
        <v>Nelson - Educational Resources</v>
      </c>
    </row>
    <row r="405" spans="1:11" ht="14.25" customHeight="1" x14ac:dyDescent="0.2">
      <c r="A405" s="144">
        <v>35361</v>
      </c>
      <c r="C405" s="143">
        <f>HLOOKUP("start",ESLData!E$1:E$9960,MATCH($A405,ESLData!$B$1:$B$9960,0))</f>
        <v>0</v>
      </c>
      <c r="E405" s="143">
        <f>HLOOKUP("start",ESLData!F$1:F$9960,MATCH($A405,ESLData!$B$1:$B$9960,0))</f>
        <v>200</v>
      </c>
      <c r="G405" s="143">
        <f>HLOOKUP("start",ESLData!H$1:H$9960,MATCH($A405,ESLData!$B$1:$B$9960,0))</f>
        <v>27.83</v>
      </c>
      <c r="I405" s="152" t="s">
        <v>985</v>
      </c>
      <c r="K405" s="142" t="str">
        <f>IF(ISNA(HLOOKUP("start",ESLData!C$1:C$9960,MATCH($A405,ESLData!$B$1:$B$9960,0))),"",HLOOKUP("start",ESLData!C$1:C$9960,MATCH($A405,ESLData!$B$1:$B$9960,0)))</f>
        <v>Nelson - DOM Expenses</v>
      </c>
    </row>
    <row r="406" spans="1:11" ht="14.25" customHeight="1" x14ac:dyDescent="0.2">
      <c r="A406" s="144">
        <v>35415</v>
      </c>
      <c r="C406" s="143">
        <f>HLOOKUP("start",ESLData!E$1:E$9960,MATCH($A406,ESLData!$B$1:$B$9960,0))</f>
        <v>812.9</v>
      </c>
      <c r="E406" s="143">
        <f>HLOOKUP("start",ESLData!F$1:F$9960,MATCH($A406,ESLData!$B$1:$B$9960,0))</f>
        <v>2000</v>
      </c>
      <c r="G406" s="143">
        <f>HLOOKUP("start",ESLData!H$1:H$9960,MATCH($A406,ESLData!$B$1:$B$9960,0))</f>
        <v>384.15</v>
      </c>
      <c r="J406" s="156" t="s">
        <v>987</v>
      </c>
      <c r="K406" s="142" t="str">
        <f>IF(ISNA(HLOOKUP("start",ESLData!C$1:C$9960,MATCH($A406,ESLData!$B$1:$B$9960,0))),"",HLOOKUP("start",ESLData!C$1:C$9960,MATCH($A406,ESLData!$B$1:$B$9960,0)))</f>
        <v>Staff Travel &amp; Accommodation</v>
      </c>
    </row>
    <row r="407" spans="1:11" ht="14.25" customHeight="1" x14ac:dyDescent="0.2">
      <c r="A407" s="144">
        <v>35425</v>
      </c>
      <c r="C407" s="143">
        <f>HLOOKUP("start",ESLData!E$1:E$9960,MATCH($A407,ESLData!$B$1:$B$9960,0))</f>
        <v>3096.83</v>
      </c>
      <c r="E407" s="143">
        <f>HLOOKUP("start",ESLData!F$1:F$9960,MATCH($A407,ESLData!$B$1:$B$9960,0))</f>
        <v>3000</v>
      </c>
      <c r="G407" s="143">
        <f>HLOOKUP("start",ESLData!H$1:H$9960,MATCH($A407,ESLData!$B$1:$B$9960,0))</f>
        <v>2850.92</v>
      </c>
      <c r="I407" s="152" t="s">
        <v>985</v>
      </c>
      <c r="K407" s="142" t="str">
        <f>IF(ISNA(HLOOKUP("start",ESLData!C$1:C$9960,MATCH($A407,ESLData!$B$1:$B$9960,0))),"",HLOOKUP("start",ESLData!C$1:C$9960,MATCH($A407,ESLData!$B$1:$B$9960,0)))</f>
        <v>Petrol</v>
      </c>
    </row>
    <row r="408" spans="1:11" ht="14.25" customHeight="1" x14ac:dyDescent="0.2">
      <c r="A408" s="144">
        <v>35510</v>
      </c>
      <c r="C408" s="143">
        <f>HLOOKUP("start",ESLData!E$1:E$9960,MATCH($A408,ESLData!$B$1:$B$9960,0))</f>
        <v>351108.74</v>
      </c>
      <c r="E408" s="143">
        <f>HLOOKUP("start",ESLData!F$1:F$9960,MATCH($A408,ESLData!$B$1:$B$9960,0))</f>
        <v>370000</v>
      </c>
      <c r="G408" s="143">
        <f>HLOOKUP("start",ESLData!H$1:H$9960,MATCH($A408,ESLData!$B$1:$B$9960,0))</f>
        <v>336337.78</v>
      </c>
      <c r="J408" s="156" t="s">
        <v>987</v>
      </c>
      <c r="K408" s="142" t="str">
        <f>IF(ISNA(HLOOKUP("start",ESLData!C$1:C$9960,MATCH($A408,ESLData!$B$1:$B$9960,0))),"",HLOOKUP("start",ESLData!C$1:C$9960,MATCH($A408,ESLData!$B$1:$B$9960,0)))</f>
        <v>Regional Leased Cards</v>
      </c>
    </row>
    <row r="409" spans="1:11" ht="14.25" customHeight="1" x14ac:dyDescent="0.2">
      <c r="A409" s="144">
        <v>35515</v>
      </c>
      <c r="C409" s="143">
        <f>HLOOKUP("start",ESLData!E$1:E$9960,MATCH($A409,ESLData!$B$1:$B$9960,0))</f>
        <v>5127.68</v>
      </c>
      <c r="E409" s="143">
        <f>HLOOKUP("start",ESLData!F$1:F$9960,MATCH($A409,ESLData!$B$1:$B$9960,0))</f>
        <v>4000</v>
      </c>
      <c r="G409" s="143">
        <f>HLOOKUP("start",ESLData!H$1:H$9960,MATCH($A409,ESLData!$B$1:$B$9960,0))</f>
        <v>2679.18</v>
      </c>
      <c r="J409" s="156" t="s">
        <v>987</v>
      </c>
      <c r="K409" s="142" t="str">
        <f>IF(ISNA(HLOOKUP("start",ESLData!C$1:C$9960,MATCH($A409,ESLData!$B$1:$B$9960,0))),"",HLOOKUP("start",ESLData!C$1:C$9960,MATCH($A409,ESLData!$B$1:$B$9960,0)))</f>
        <v>Regional Vehicle Maintenance</v>
      </c>
    </row>
    <row r="410" spans="1:11" ht="14.25" customHeight="1" x14ac:dyDescent="0.2">
      <c r="A410" s="144">
        <v>35520</v>
      </c>
      <c r="C410" s="143">
        <f>HLOOKUP("start",ESLData!E$1:E$9960,MATCH($A410,ESLData!$B$1:$B$9960,0))</f>
        <v>70565.039999999994</v>
      </c>
      <c r="E410" s="143">
        <f>HLOOKUP("start",ESLData!F$1:F$9960,MATCH($A410,ESLData!$B$1:$B$9960,0))</f>
        <v>65000</v>
      </c>
      <c r="G410" s="143">
        <f>HLOOKUP("start",ESLData!H$1:H$9960,MATCH($A410,ESLData!$B$1:$B$9960,0))</f>
        <v>53725.17</v>
      </c>
      <c r="J410" s="156" t="s">
        <v>987</v>
      </c>
      <c r="K410" s="142" t="str">
        <f>IF(ISNA(HLOOKUP("start",ESLData!C$1:C$9960,MATCH($A410,ESLData!$B$1:$B$9960,0))),"",HLOOKUP("start",ESLData!C$1:C$9960,MATCH($A410,ESLData!$B$1:$B$9960,0)))</f>
        <v>Regional Vehicle Insurance</v>
      </c>
    </row>
    <row r="411" spans="1:11" ht="14.25" customHeight="1" x14ac:dyDescent="0.2">
      <c r="A411" s="144">
        <v>35524</v>
      </c>
      <c r="C411" s="143">
        <f>HLOOKUP("start",ESLData!E$1:E$9960,MATCH($A411,ESLData!$B$1:$B$9960,0))</f>
        <v>6083.07</v>
      </c>
      <c r="E411" s="143">
        <f>HLOOKUP("start",ESLData!F$1:F$9960,MATCH($A411,ESLData!$B$1:$B$9960,0))</f>
        <v>38000</v>
      </c>
      <c r="G411" s="143">
        <f>HLOOKUP("start",ESLData!H$1:H$9960,MATCH($A411,ESLData!$B$1:$B$9960,0))</f>
        <v>3786.12</v>
      </c>
      <c r="J411" s="156"/>
    </row>
    <row r="412" spans="1:11" ht="14.25" customHeight="1" x14ac:dyDescent="0.2">
      <c r="A412" s="144">
        <v>35530</v>
      </c>
      <c r="C412" s="143">
        <f>HLOOKUP("start",ESLData!E$1:E$9960,MATCH($A412,ESLData!$B$1:$B$9960,0))</f>
        <v>0</v>
      </c>
      <c r="E412" s="143">
        <f>HLOOKUP("start",ESLData!F$1:F$9960,MATCH($A412,ESLData!$B$1:$B$9960,0))</f>
        <v>0</v>
      </c>
      <c r="G412" s="143">
        <f>HLOOKUP("start",ESLData!H$1:H$9960,MATCH($A412,ESLData!$B$1:$B$9960,0))</f>
        <v>0</v>
      </c>
      <c r="J412" s="156" t="s">
        <v>987</v>
      </c>
      <c r="K412" s="142" t="str">
        <f>IF(ISNA(HLOOKUP("start",ESLData!C$1:C$9960,MATCH($A412,ESLData!$B$1:$B$9960,0))),"",HLOOKUP("start",ESLData!C$1:C$9960,MATCH($A412,ESLData!$B$1:$B$9960,0)))</f>
        <v>Regional Relief Teacher Travel</v>
      </c>
    </row>
    <row r="413" spans="1:11" ht="14.25" customHeight="1" x14ac:dyDescent="0.2">
      <c r="A413" s="144">
        <v>35535</v>
      </c>
      <c r="C413" s="143">
        <f>HLOOKUP("start",ESLData!E$1:E$9960,MATCH($A413,ESLData!$B$1:$B$9960,0))</f>
        <v>5132.5200000000004</v>
      </c>
      <c r="E413" s="143">
        <f>HLOOKUP("start",ESLData!F$1:F$9960,MATCH($A413,ESLData!$B$1:$B$9960,0))</f>
        <v>6000</v>
      </c>
      <c r="G413" s="143">
        <f>HLOOKUP("start",ESLData!H$1:H$9960,MATCH($A413,ESLData!$B$1:$B$9960,0))</f>
        <v>5240.58</v>
      </c>
      <c r="J413" s="156" t="s">
        <v>987</v>
      </c>
      <c r="K413" s="142" t="str">
        <f>IF(ISNA(HLOOKUP("start",ESLData!C$1:C$9960,MATCH($A413,ESLData!$B$1:$B$9960,0))),"",HLOOKUP("start",ESLData!C$1:C$9960,MATCH($A413,ESLData!$B$1:$B$9960,0)))</f>
        <v>Regional Software Licences</v>
      </c>
    </row>
    <row r="414" spans="1:11" ht="14.25" customHeight="1" x14ac:dyDescent="0.2">
      <c r="A414" s="144">
        <v>35536</v>
      </c>
      <c r="C414" s="143">
        <f>HLOOKUP("start",ESLData!E$1:E$9960,MATCH($A414,ESLData!$B$1:$B$9960,0))</f>
        <v>69387.95</v>
      </c>
      <c r="E414" s="143">
        <f>HLOOKUP("start",ESLData!F$1:F$9960,MATCH($A414,ESLData!$B$1:$B$9960,0))</f>
        <v>66000</v>
      </c>
      <c r="G414" s="143">
        <f>HLOOKUP("start",ESLData!H$1:H$9960,MATCH($A414,ESLData!$B$1:$B$9960,0))</f>
        <v>72097.31</v>
      </c>
      <c r="J414" s="156"/>
      <c r="K414" s="142" t="str">
        <f>IF(ISNA(HLOOKUP("start",ESLData!C$1:C$9960,MATCH($A414,ESLData!$B$1:$B$9960,0))),"",HLOOKUP("start",ESLData!C$1:C$9960,MATCH($A414,ESLData!$B$1:$B$9960,0)))</f>
        <v>Network &amp; VRC Phones &amp; Tolls</v>
      </c>
    </row>
    <row r="415" spans="1:11" ht="14.25" customHeight="1" x14ac:dyDescent="0.2">
      <c r="A415" s="144">
        <v>35540</v>
      </c>
      <c r="C415" s="143">
        <f>HLOOKUP("start",ESLData!E$1:E$9960,MATCH($A415,ESLData!$B$1:$B$9960,0))</f>
        <v>13596.87</v>
      </c>
      <c r="E415" s="143">
        <f>HLOOKUP("start",ESLData!F$1:F$9960,MATCH($A415,ESLData!$B$1:$B$9960,0))</f>
        <v>15000</v>
      </c>
      <c r="G415" s="143">
        <f>HLOOKUP("start",ESLData!H$1:H$9960,MATCH($A415,ESLData!$B$1:$B$9960,0))</f>
        <v>13591.25</v>
      </c>
      <c r="J415" s="156" t="s">
        <v>987</v>
      </c>
      <c r="K415" s="142" t="str">
        <f>IF(ISNA(HLOOKUP("start",ESLData!C$1:C$9960,MATCH($A415,ESLData!$B$1:$B$9960,0))),"",HLOOKUP("start",ESLData!C$1:C$9960,MATCH($A415,ESLData!$B$1:$B$9960,0)))</f>
        <v>Regional Consumables</v>
      </c>
    </row>
    <row r="416" spans="1:11" ht="14.25" customHeight="1" x14ac:dyDescent="0.2">
      <c r="A416" s="144">
        <v>35545</v>
      </c>
      <c r="C416" s="143">
        <f>HLOOKUP("start",ESLData!E$1:E$9960,MATCH($A416,ESLData!$B$1:$B$9960,0))</f>
        <v>1163.18</v>
      </c>
      <c r="E416" s="143">
        <f>HLOOKUP("start",ESLData!F$1:F$9960,MATCH($A416,ESLData!$B$1:$B$9960,0))</f>
        <v>12000</v>
      </c>
      <c r="G416" s="143">
        <f>HLOOKUP("start",ESLData!H$1:H$9960,MATCH($A416,ESLData!$B$1:$B$9960,0))</f>
        <v>8465.2900000000009</v>
      </c>
      <c r="J416" s="156" t="s">
        <v>987</v>
      </c>
      <c r="K416" s="142" t="str">
        <f>IF(ISNA(HLOOKUP("start",ESLData!C$1:C$9960,MATCH($A416,ESLData!$B$1:$B$9960,0))),"",HLOOKUP("start",ESLData!C$1:C$9960,MATCH($A416,ESLData!$B$1:$B$9960,0)))</f>
        <v>VRC New Property Consumables</v>
      </c>
    </row>
    <row r="417" spans="1:11" ht="14.25" customHeight="1" x14ac:dyDescent="0.2">
      <c r="A417" s="144">
        <v>35550</v>
      </c>
      <c r="C417" s="143">
        <f>HLOOKUP("start",ESLData!E$1:E$9960,MATCH($A417,ESLData!$B$1:$B$9960,0))</f>
        <v>904.04</v>
      </c>
      <c r="E417" s="143">
        <f>HLOOKUP("start",ESLData!F$1:F$9960,MATCH($A417,ESLData!$B$1:$B$9960,0))</f>
        <v>5000</v>
      </c>
      <c r="G417" s="143">
        <f>HLOOKUP("start",ESLData!H$1:H$9960,MATCH($A417,ESLData!$B$1:$B$9960,0))</f>
        <v>6081.4</v>
      </c>
      <c r="J417" s="156" t="s">
        <v>987</v>
      </c>
      <c r="K417" s="142" t="str">
        <f>IF(ISNA(HLOOKUP("start",ESLData!C$1:C$9960,MATCH($A417,ESLData!$B$1:$B$9960,0))),"",HLOOKUP("start",ESLData!C$1:C$9960,MATCH($A417,ESLData!$B$1:$B$9960,0)))</f>
        <v>Regional Stationery</v>
      </c>
    </row>
    <row r="418" spans="1:11" ht="14.25" customHeight="1" x14ac:dyDescent="0.2">
      <c r="A418" s="144">
        <v>35555</v>
      </c>
      <c r="C418" s="143">
        <f>HLOOKUP("start",ESLData!E$1:E$9960,MATCH($A418,ESLData!$B$1:$B$9960,0))</f>
        <v>3159.58</v>
      </c>
      <c r="E418" s="143">
        <f>HLOOKUP("start",ESLData!F$1:F$9960,MATCH($A418,ESLData!$B$1:$B$9960,0))</f>
        <v>5000</v>
      </c>
      <c r="G418" s="143">
        <f>HLOOKUP("start",ESLData!H$1:H$9960,MATCH($A418,ESLData!$B$1:$B$9960,0))</f>
        <v>5482.12</v>
      </c>
      <c r="I418" s="152" t="s">
        <v>985</v>
      </c>
      <c r="K418" s="142" t="str">
        <f>IF(ISNA(HLOOKUP("start",ESLData!C$1:C$9960,MATCH($A418,ESLData!$B$1:$B$9960,0))),"",HLOOKUP("start",ESLData!C$1:C$9960,MATCH($A418,ESLData!$B$1:$B$9960,0)))</f>
        <v>Regional Health &amp; Safety</v>
      </c>
    </row>
    <row r="419" spans="1:11" ht="14.25" customHeight="1" x14ac:dyDescent="0.2">
      <c r="A419" s="144">
        <v>35605</v>
      </c>
      <c r="C419" s="143">
        <f>HLOOKUP("start",ESLData!E$1:E$9960,MATCH($A419,ESLData!$B$1:$B$9960,0))</f>
        <v>0</v>
      </c>
      <c r="E419" s="143">
        <f>HLOOKUP("start",ESLData!F$1:F$9960,MATCH($A419,ESLData!$B$1:$B$9960,0))</f>
        <v>0</v>
      </c>
      <c r="G419" s="143">
        <f>HLOOKUP("start",ESLData!H$1:H$9960,MATCH($A419,ESLData!$B$1:$B$9960,0))</f>
        <v>0</v>
      </c>
      <c r="J419" s="156" t="s">
        <v>987</v>
      </c>
      <c r="K419" s="142" t="str">
        <f>IF(ISNA(HLOOKUP("start",ESLData!C$1:C$9960,MATCH($A419,ESLData!$B$1:$B$9960,0))),"",HLOOKUP("start",ESLData!C$1:C$9960,MATCH($A419,ESLData!$B$1:$B$9960,0)))</f>
        <v>Telephone Rental/Tolls/Faxes</v>
      </c>
    </row>
    <row r="420" spans="1:11" ht="14.25" customHeight="1" x14ac:dyDescent="0.2">
      <c r="A420" s="144">
        <v>35630</v>
      </c>
      <c r="C420" s="143">
        <f>HLOOKUP("start",ESLData!E$1:E$9960,MATCH($A420,ESLData!$B$1:$B$9960,0))</f>
        <v>417.58</v>
      </c>
      <c r="E420" s="143">
        <f>HLOOKUP("start",ESLData!F$1:F$9960,MATCH($A420,ESLData!$B$1:$B$9960,0))</f>
        <v>700</v>
      </c>
      <c r="G420" s="143">
        <f>HLOOKUP("start",ESLData!H$1:H$9960,MATCH($A420,ESLData!$B$1:$B$9960,0))</f>
        <v>358.77</v>
      </c>
      <c r="J420" s="156" t="s">
        <v>987</v>
      </c>
      <c r="K420" s="142" t="str">
        <f>IF(ISNA(HLOOKUP("start",ESLData!C$1:C$9960,MATCH($A420,ESLData!$B$1:$B$9960,0))),"",HLOOKUP("start",ESLData!C$1:C$9960,MATCH($A420,ESLData!$B$1:$B$9960,0)))</f>
        <v>Southland - Printing/Stationery</v>
      </c>
    </row>
    <row r="421" spans="1:11" ht="14.25" customHeight="1" x14ac:dyDescent="0.2">
      <c r="A421" s="144">
        <v>35635</v>
      </c>
      <c r="C421" s="143">
        <f>HLOOKUP("start",ESLData!E$1:E$9960,MATCH($A421,ESLData!$B$1:$B$9960,0))</f>
        <v>1268.3699999999999</v>
      </c>
      <c r="D421" s="148"/>
      <c r="E421" s="143">
        <f>HLOOKUP("start",ESLData!F$1:F$9960,MATCH($A421,ESLData!$B$1:$B$9960,0))</f>
        <v>750</v>
      </c>
      <c r="F421" s="148"/>
      <c r="G421" s="143">
        <f>HLOOKUP("start",ESLData!H$1:H$9960,MATCH($A421,ESLData!$B$1:$B$9960,0))</f>
        <v>976.12</v>
      </c>
      <c r="H421" s="148"/>
      <c r="J421" s="156" t="s">
        <v>987</v>
      </c>
      <c r="K421" s="142" t="str">
        <f>IF(ISNA(HLOOKUP("start",ESLData!C$1:C$9960,MATCH($A421,ESLData!$B$1:$B$9960,0))),"",HLOOKUP("start",ESLData!C$1:C$9960,MATCH($A421,ESLData!$B$1:$B$9960,0)))</f>
        <v>Southland - Consumables</v>
      </c>
    </row>
    <row r="422" spans="1:11" ht="14.25" customHeight="1" x14ac:dyDescent="0.2">
      <c r="A422" s="144">
        <v>35640</v>
      </c>
      <c r="C422" s="143">
        <f>HLOOKUP("start",ESLData!E$1:E$9960,MATCH($A422,ESLData!$B$1:$B$9960,0))</f>
        <v>0</v>
      </c>
      <c r="E422" s="143">
        <f>HLOOKUP("start",ESLData!F$1:F$9960,MATCH($A422,ESLData!$B$1:$B$9960,0))</f>
        <v>0</v>
      </c>
      <c r="G422" s="143">
        <f>HLOOKUP("start",ESLData!H$1:H$9960,MATCH($A422,ESLData!$B$1:$B$9960,0))</f>
        <v>0</v>
      </c>
      <c r="J422" s="156" t="s">
        <v>987</v>
      </c>
      <c r="K422" s="142" t="str">
        <f>IF(ISNA(HLOOKUP("start",ESLData!C$1:C$9960,MATCH($A422,ESLData!$B$1:$B$9960,0))),"",HLOOKUP("start",ESLData!C$1:C$9960,MATCH($A422,ESLData!$B$1:$B$9960,0)))</f>
        <v>Southland - Publications</v>
      </c>
    </row>
    <row r="423" spans="1:11" ht="14.25" customHeight="1" x14ac:dyDescent="0.2">
      <c r="A423" s="144">
        <v>35645</v>
      </c>
      <c r="C423" s="143">
        <f>HLOOKUP("start",ESLData!E$1:E$9960,MATCH($A423,ESLData!$B$1:$B$9960,0))</f>
        <v>234.12</v>
      </c>
      <c r="E423" s="143">
        <f>HLOOKUP("start",ESLData!F$1:F$9960,MATCH($A423,ESLData!$B$1:$B$9960,0))</f>
        <v>450</v>
      </c>
      <c r="G423" s="143">
        <f>HLOOKUP("start",ESLData!H$1:H$9960,MATCH($A423,ESLData!$B$1:$B$9960,0))</f>
        <v>293.45</v>
      </c>
      <c r="J423" s="156" t="s">
        <v>987</v>
      </c>
      <c r="K423" s="142" t="str">
        <f>IF(ISNA(HLOOKUP("start",ESLData!C$1:C$9960,MATCH($A423,ESLData!$B$1:$B$9960,0))),"",HLOOKUP("start",ESLData!C$1:C$9960,MATCH($A423,ESLData!$B$1:$B$9960,0)))</f>
        <v>Southland - Photocopying</v>
      </c>
    </row>
    <row r="424" spans="1:11" ht="14.25" customHeight="1" x14ac:dyDescent="0.2">
      <c r="A424" s="144">
        <v>35650</v>
      </c>
      <c r="C424" s="143">
        <f>HLOOKUP("start",ESLData!E$1:E$9960,MATCH($A424,ESLData!$B$1:$B$9960,0))</f>
        <v>0</v>
      </c>
      <c r="E424" s="143">
        <f>HLOOKUP("start",ESLData!F$1:F$9960,MATCH($A424,ESLData!$B$1:$B$9960,0))</f>
        <v>0</v>
      </c>
      <c r="G424" s="143">
        <f>HLOOKUP("start",ESLData!H$1:H$9960,MATCH($A424,ESLData!$B$1:$B$9960,0))</f>
        <v>0</v>
      </c>
      <c r="J424" s="156" t="s">
        <v>987</v>
      </c>
      <c r="K424" s="142" t="str">
        <f>IF(ISNA(HLOOKUP("start",ESLData!C$1:C$9960,MATCH($A424,ESLData!$B$1:$B$9960,0))),"",HLOOKUP("start",ESLData!C$1:C$9960,MATCH($A424,ESLData!$B$1:$B$9960,0)))</f>
        <v>Southland - Subs/Membership Fees</v>
      </c>
    </row>
    <row r="425" spans="1:11" ht="14.25" customHeight="1" x14ac:dyDescent="0.2">
      <c r="A425" s="144">
        <v>35660</v>
      </c>
      <c r="C425" s="143">
        <f>HLOOKUP("start",ESLData!E$1:E$9960,MATCH($A425,ESLData!$B$1:$B$9960,0))</f>
        <v>803.5</v>
      </c>
      <c r="E425" s="143">
        <f>HLOOKUP("start",ESLData!F$1:F$9960,MATCH($A425,ESLData!$B$1:$B$9960,0))</f>
        <v>1000</v>
      </c>
      <c r="G425" s="143">
        <f>HLOOKUP("start",ESLData!H$1:H$9960,MATCH($A425,ESLData!$B$1:$B$9960,0))</f>
        <v>1260.3900000000001</v>
      </c>
      <c r="J425" s="156" t="s">
        <v>987</v>
      </c>
      <c r="K425" s="142" t="str">
        <f>IF(ISNA(HLOOKUP("start",ESLData!C$1:C$9960,MATCH($A425,ESLData!$B$1:$B$9960,0))),"",HLOOKUP("start",ESLData!C$1:C$9960,MATCH($A425,ESLData!$B$1:$B$9960,0)))</f>
        <v>Southland - Educational Resources</v>
      </c>
    </row>
    <row r="426" spans="1:11" ht="14.25" customHeight="1" x14ac:dyDescent="0.2">
      <c r="A426" s="144">
        <v>35665</v>
      </c>
      <c r="C426" s="143">
        <f>HLOOKUP("start",ESLData!E$1:E$9960,MATCH($A426,ESLData!$B$1:$B$9960,0))</f>
        <v>203.74</v>
      </c>
      <c r="E426" s="143">
        <f>HLOOKUP("start",ESLData!F$1:F$9960,MATCH($A426,ESLData!$B$1:$B$9960,0))</f>
        <v>200</v>
      </c>
      <c r="G426" s="143">
        <f>HLOOKUP("start",ESLData!H$1:H$9960,MATCH($A426,ESLData!$B$1:$B$9960,0))</f>
        <v>146.38</v>
      </c>
      <c r="J426" s="156" t="s">
        <v>987</v>
      </c>
      <c r="K426" s="142" t="str">
        <f>IF(ISNA(HLOOKUP("start",ESLData!C$1:C$9960,MATCH($A426,ESLData!$B$1:$B$9960,0))),"",HLOOKUP("start",ESLData!C$1:C$9960,MATCH($A426,ESLData!$B$1:$B$9960,0)))</f>
        <v>Southland - DOM Expenses</v>
      </c>
    </row>
    <row r="427" spans="1:11" ht="14.25" customHeight="1" x14ac:dyDescent="0.2">
      <c r="A427" s="144">
        <v>35710</v>
      </c>
      <c r="C427" s="143">
        <f>HLOOKUP("start",ESLData!E$1:E$9960,MATCH($A427,ESLData!$B$1:$B$9960,0))</f>
        <v>1539.07</v>
      </c>
      <c r="E427" s="143">
        <f>HLOOKUP("start",ESLData!F$1:F$9960,MATCH($A427,ESLData!$B$1:$B$9960,0))</f>
        <v>1000</v>
      </c>
      <c r="G427" s="143">
        <f>HLOOKUP("start",ESLData!H$1:H$9960,MATCH($A427,ESLData!$B$1:$B$9960,0))</f>
        <v>1119.46</v>
      </c>
      <c r="J427" s="156" t="s">
        <v>987</v>
      </c>
      <c r="K427" s="142" t="str">
        <f>IF(ISNA(HLOOKUP("start",ESLData!C$1:C$9960,MATCH($A427,ESLData!$B$1:$B$9960,0))),"",HLOOKUP("start",ESLData!C$1:C$9960,MATCH($A427,ESLData!$B$1:$B$9960,0)))</f>
        <v>Staff Travel &amp; Accommodation</v>
      </c>
    </row>
    <row r="428" spans="1:11" ht="14.25" customHeight="1" x14ac:dyDescent="0.2">
      <c r="A428" s="144">
        <v>35720</v>
      </c>
      <c r="C428" s="143">
        <f>HLOOKUP("start",ESLData!E$1:E$9960,MATCH($A428,ESLData!$B$1:$B$9960,0))</f>
        <v>1781.09</v>
      </c>
      <c r="E428" s="143">
        <f>HLOOKUP("start",ESLData!F$1:F$9960,MATCH($A428,ESLData!$B$1:$B$9960,0))</f>
        <v>3000</v>
      </c>
      <c r="G428" s="143">
        <f>HLOOKUP("start",ESLData!H$1:H$9960,MATCH($A428,ESLData!$B$1:$B$9960,0))</f>
        <v>2093.8000000000002</v>
      </c>
      <c r="J428" s="156" t="s">
        <v>987</v>
      </c>
      <c r="K428" s="142" t="str">
        <f>IF(ISNA(HLOOKUP("start",ESLData!C$1:C$9960,MATCH($A428,ESLData!$B$1:$B$9960,0))),"",HLOOKUP("start",ESLData!C$1:C$9960,MATCH($A428,ESLData!$B$1:$B$9960,0)))</f>
        <v>Petrol</v>
      </c>
    </row>
    <row r="429" spans="1:11" ht="14.25" customHeight="1" x14ac:dyDescent="0.2">
      <c r="A429" s="144">
        <v>35801</v>
      </c>
      <c r="C429" s="143">
        <f>HLOOKUP("start",ESLData!E$1:E$9960,MATCH($A429,ESLData!$B$1:$B$9960,0))</f>
        <v>6665.13</v>
      </c>
      <c r="E429" s="143">
        <f>HLOOKUP("start",ESLData!F$1:F$9960,MATCH($A429,ESLData!$B$1:$B$9960,0))</f>
        <v>9300</v>
      </c>
      <c r="G429" s="143">
        <f>HLOOKUP("start",ESLData!H$1:H$9960,MATCH($A429,ESLData!$B$1:$B$9960,0))</f>
        <v>8570.9500000000007</v>
      </c>
      <c r="J429" s="156" t="s">
        <v>987</v>
      </c>
      <c r="K429" s="142" t="str">
        <f>IF(ISNA(HLOOKUP("start",ESLData!C$1:C$9960,MATCH($A429,ESLData!$B$1:$B$9960,0))),"",HLOOKUP("start",ESLData!C$1:C$9960,MATCH($A429,ESLData!$B$1:$B$9960,0)))</f>
        <v>Music School Contract Workers</v>
      </c>
    </row>
    <row r="430" spans="1:11" ht="14.25" customHeight="1" x14ac:dyDescent="0.2">
      <c r="A430" s="144">
        <v>35810</v>
      </c>
      <c r="C430" s="143">
        <f>HLOOKUP("start",ESLData!E$1:E$9960,MATCH($A430,ESLData!$B$1:$B$9960,0))</f>
        <v>389.27</v>
      </c>
      <c r="E430" s="143">
        <f>HLOOKUP("start",ESLData!F$1:F$9960,MATCH($A430,ESLData!$B$1:$B$9960,0))</f>
        <v>1500</v>
      </c>
      <c r="G430" s="143">
        <f>HLOOKUP("start",ESLData!H$1:H$9960,MATCH($A430,ESLData!$B$1:$B$9960,0))</f>
        <v>542.67999999999995</v>
      </c>
      <c r="J430" s="156" t="s">
        <v>987</v>
      </c>
      <c r="K430" s="142" t="str">
        <f>IF(ISNA(HLOOKUP("start",ESLData!C$1:C$9960,MATCH($A430,ESLData!$B$1:$B$9960,0))),"",HLOOKUP("start",ESLData!C$1:C$9960,MATCH($A430,ESLData!$B$1:$B$9960,0)))</f>
        <v>ITM - Travel Reimbursements</v>
      </c>
    </row>
    <row r="431" spans="1:11" ht="14.25" customHeight="1" x14ac:dyDescent="0.2">
      <c r="A431" s="144">
        <v>35840</v>
      </c>
      <c r="C431" s="143">
        <f>HLOOKUP("start",ESLData!E$1:E$9960,MATCH($A431,ESLData!$B$1:$B$9960,0))</f>
        <v>116.86</v>
      </c>
      <c r="E431" s="143">
        <f>HLOOKUP("start",ESLData!F$1:F$9960,MATCH($A431,ESLData!$B$1:$B$9960,0))</f>
        <v>300</v>
      </c>
      <c r="G431" s="143">
        <f>HLOOKUP("start",ESLData!H$1:H$9960,MATCH($A431,ESLData!$B$1:$B$9960,0))</f>
        <v>550.77</v>
      </c>
      <c r="J431" s="156" t="s">
        <v>987</v>
      </c>
      <c r="K431" s="142" t="str">
        <f>IF(ISNA(HLOOKUP("start",ESLData!C$1:C$9960,MATCH($A431,ESLData!$B$1:$B$9960,0))),"",HLOOKUP("start",ESLData!C$1:C$9960,MATCH($A431,ESLData!$B$1:$B$9960,0)))</f>
        <v>ITM - Consumables</v>
      </c>
    </row>
    <row r="432" spans="1:11" ht="14.25" customHeight="1" x14ac:dyDescent="0.2">
      <c r="A432" s="144">
        <v>35850</v>
      </c>
      <c r="C432" s="143">
        <f>HLOOKUP("start",ESLData!E$1:E$9960,MATCH($A432,ESLData!$B$1:$B$9960,0))</f>
        <v>0</v>
      </c>
      <c r="E432" s="143">
        <f>HLOOKUP("start",ESLData!F$1:F$9960,MATCH($A432,ESLData!$B$1:$B$9960,0))</f>
        <v>0</v>
      </c>
      <c r="G432" s="143">
        <f>HLOOKUP("start",ESLData!H$1:H$9960,MATCH($A432,ESLData!$B$1:$B$9960,0))</f>
        <v>0</v>
      </c>
      <c r="J432" s="156" t="s">
        <v>987</v>
      </c>
      <c r="K432" s="142" t="str">
        <f>IF(ISNA(HLOOKUP("start",ESLData!C$1:C$9960,MATCH($A432,ESLData!$B$1:$B$9960,0))),"",HLOOKUP("start",ESLData!C$1:C$9960,MATCH($A432,ESLData!$B$1:$B$9960,0)))</f>
        <v>Music School</v>
      </c>
    </row>
    <row r="433" spans="1:11" ht="14.25" customHeight="1" x14ac:dyDescent="0.2">
      <c r="A433" s="144">
        <v>35855</v>
      </c>
      <c r="C433" s="143">
        <f>HLOOKUP("start",ESLData!E$1:E$9960,MATCH($A433,ESLData!$B$1:$B$9960,0))</f>
        <v>66.25</v>
      </c>
      <c r="E433" s="143">
        <f>HLOOKUP("start",ESLData!F$1:F$9960,MATCH($A433,ESLData!$B$1:$B$9960,0))</f>
        <v>120</v>
      </c>
      <c r="G433" s="143">
        <f>HLOOKUP("start",ESLData!H$1:H$9960,MATCH($A433,ESLData!$B$1:$B$9960,0))</f>
        <v>0</v>
      </c>
      <c r="J433" s="156" t="s">
        <v>987</v>
      </c>
      <c r="K433" s="142" t="str">
        <f>IF(ISNA(HLOOKUP("start",ESLData!C$1:C$9960,MATCH($A433,ESLData!$B$1:$B$9960,0))),"",HLOOKUP("start",ESLData!C$1:C$9960,MATCH($A433,ESLData!$B$1:$B$9960,0)))</f>
        <v>Photocopying</v>
      </c>
    </row>
    <row r="434" spans="1:11" ht="14.25" customHeight="1" x14ac:dyDescent="0.2">
      <c r="A434" s="144">
        <v>35860</v>
      </c>
      <c r="C434" s="143">
        <f>HLOOKUP("start",ESLData!E$1:E$9960,MATCH($A434,ESLData!$B$1:$B$9960,0))</f>
        <v>0</v>
      </c>
      <c r="E434" s="143">
        <f>HLOOKUP("start",ESLData!F$1:F$9960,MATCH($A434,ESLData!$B$1:$B$9960,0))</f>
        <v>50</v>
      </c>
      <c r="G434" s="143">
        <f>HLOOKUP("start",ESLData!H$1:H$9960,MATCH($A434,ESLData!$B$1:$B$9960,0))</f>
        <v>20.260000000000002</v>
      </c>
      <c r="J434" s="156" t="s">
        <v>987</v>
      </c>
      <c r="K434" s="142" t="str">
        <f>IF(ISNA(HLOOKUP("start",ESLData!C$1:C$9960,MATCH($A434,ESLData!$B$1:$B$9960,0))),"",HLOOKUP("start",ESLData!C$1:C$9960,MATCH($A434,ESLData!$B$1:$B$9960,0)))</f>
        <v>Stationery</v>
      </c>
    </row>
    <row r="435" spans="1:11" ht="14.25" customHeight="1" x14ac:dyDescent="0.2">
      <c r="A435" s="144">
        <v>35875</v>
      </c>
      <c r="C435" s="143">
        <f>HLOOKUP("start",ESLData!E$1:E$9960,MATCH($A435,ESLData!$B$1:$B$9960,0))</f>
        <v>176.84</v>
      </c>
      <c r="E435" s="143">
        <f>HLOOKUP("start",ESLData!F$1:F$9960,MATCH($A435,ESLData!$B$1:$B$9960,0))</f>
        <v>4200</v>
      </c>
      <c r="G435" s="143">
        <f>HLOOKUP("start",ESLData!H$1:H$9960,MATCH($A435,ESLData!$B$1:$B$9960,0))</f>
        <v>40.020000000000003</v>
      </c>
      <c r="J435" s="156" t="s">
        <v>987</v>
      </c>
      <c r="K435" s="142" t="str">
        <f>IF(ISNA(HLOOKUP("start",ESLData!C$1:C$9960,MATCH($A435,ESLData!$B$1:$B$9960,0))),"",HLOOKUP("start",ESLData!C$1:C$9960,MATCH($A435,ESLData!$B$1:$B$9960,0)))</f>
        <v>Teaching Resources</v>
      </c>
    </row>
    <row r="436" spans="1:11" ht="14.25" customHeight="1" x14ac:dyDescent="0.2">
      <c r="A436" s="144">
        <v>35910</v>
      </c>
      <c r="C436" s="143">
        <f>HLOOKUP("start",ESLData!E$1:E$9960,MATCH($A436,ESLData!$B$1:$B$9960,0))</f>
        <v>37.200000000000003</v>
      </c>
      <c r="E436" s="143">
        <f>HLOOKUP("start",ESLData!F$1:F$9960,MATCH($A436,ESLData!$B$1:$B$9960,0))</f>
        <v>0</v>
      </c>
      <c r="G436" s="143">
        <f>HLOOKUP("start",ESLData!H$1:H$9960,MATCH($A436,ESLData!$B$1:$B$9960,0))</f>
        <v>0</v>
      </c>
      <c r="H436" s="146"/>
      <c r="I436" s="146"/>
      <c r="J436" s="156" t="s">
        <v>987</v>
      </c>
      <c r="K436" s="142" t="str">
        <f>IF(ISNA(HLOOKUP("start",ESLData!C$1:C$9960,MATCH($A436,ESLData!$B$1:$B$9960,0))),"",HLOOKUP("start",ESLData!C$1:C$9960,MATCH($A436,ESLData!$B$1:$B$9960,0)))</f>
        <v>Telephone/Tolls/Fax Ec</v>
      </c>
    </row>
    <row r="437" spans="1:11" ht="14.25" customHeight="1" x14ac:dyDescent="0.2">
      <c r="A437" s="144">
        <v>35920</v>
      </c>
      <c r="C437" s="143">
        <f>HLOOKUP("start",ESLData!E$1:E$9960,MATCH($A437,ESLData!$B$1:$B$9960,0))</f>
        <v>0</v>
      </c>
      <c r="E437" s="143">
        <f>HLOOKUP("start",ESLData!F$1:F$9960,MATCH($A437,ESLData!$B$1:$B$9960,0))</f>
        <v>0</v>
      </c>
      <c r="G437" s="143">
        <f>HLOOKUP("start",ESLData!H$1:H$9960,MATCH($A437,ESLData!$B$1:$B$9960,0))</f>
        <v>0</v>
      </c>
      <c r="J437" s="156" t="s">
        <v>987</v>
      </c>
      <c r="K437" s="142" t="str">
        <f>IF(ISNA(HLOOKUP("start",ESLData!C$1:C$9960,MATCH($A437,ESLData!$B$1:$B$9960,0))),"",HLOOKUP("start",ESLData!C$1:C$9960,MATCH($A437,ESLData!$B$1:$B$9960,0)))</f>
        <v>Photocopying Ec</v>
      </c>
    </row>
    <row r="438" spans="1:11" ht="14.25" customHeight="1" x14ac:dyDescent="0.2">
      <c r="A438" s="144">
        <v>35930</v>
      </c>
      <c r="C438" s="143">
        <f>HLOOKUP("start",ESLData!E$1:E$9960,MATCH($A438,ESLData!$B$1:$B$9960,0))</f>
        <v>0</v>
      </c>
      <c r="E438" s="143">
        <f>HLOOKUP("start",ESLData!F$1:F$9960,MATCH($A438,ESLData!$B$1:$B$9960,0))</f>
        <v>0</v>
      </c>
      <c r="G438" s="143">
        <f>HLOOKUP("start",ESLData!H$1:H$9960,MATCH($A438,ESLData!$B$1:$B$9960,0))</f>
        <v>0</v>
      </c>
      <c r="J438" s="156" t="s">
        <v>987</v>
      </c>
      <c r="K438" s="142" t="str">
        <f>IF(ISNA(HLOOKUP("start",ESLData!C$1:C$9960,MATCH($A438,ESLData!$B$1:$B$9960,0))),"",HLOOKUP("start",ESLData!C$1:C$9960,MATCH($A438,ESLData!$B$1:$B$9960,0)))</f>
        <v>Printing/Stationery Ec</v>
      </c>
    </row>
    <row r="439" spans="1:11" ht="14.25" customHeight="1" x14ac:dyDescent="0.2">
      <c r="A439" s="144">
        <v>35940</v>
      </c>
      <c r="C439" s="143">
        <f>HLOOKUP("start",ESLData!E$1:E$9960,MATCH($A439,ESLData!$B$1:$B$9960,0))</f>
        <v>409.95</v>
      </c>
      <c r="E439" s="143">
        <f>HLOOKUP("start",ESLData!F$1:F$9960,MATCH($A439,ESLData!$B$1:$B$9960,0))</f>
        <v>0</v>
      </c>
      <c r="G439" s="143">
        <f>HLOOKUP("start",ESLData!H$1:H$9960,MATCH($A439,ESLData!$B$1:$B$9960,0))</f>
        <v>0</v>
      </c>
      <c r="J439" s="156" t="s">
        <v>987</v>
      </c>
      <c r="K439" s="142" t="str">
        <f>IF(ISNA(HLOOKUP("start",ESLData!C$1:C$9960,MATCH($A439,ESLData!$B$1:$B$9960,0))),"",HLOOKUP("start",ESLData!C$1:C$9960,MATCH($A439,ESLData!$B$1:$B$9960,0)))</f>
        <v>Consumables Ec</v>
      </c>
    </row>
    <row r="440" spans="1:11" ht="14.25" customHeight="1" x14ac:dyDescent="0.2">
      <c r="A440" s="144">
        <v>35960</v>
      </c>
      <c r="C440" s="143">
        <f>HLOOKUP("start",ESLData!E$1:E$9960,MATCH($A440,ESLData!$B$1:$B$9960,0))</f>
        <v>0</v>
      </c>
      <c r="E440" s="143">
        <f>HLOOKUP("start",ESLData!F$1:F$9960,MATCH($A440,ESLData!$B$1:$B$9960,0))</f>
        <v>0</v>
      </c>
      <c r="G440" s="143">
        <f>HLOOKUP("start",ESLData!H$1:H$9960,MATCH($A440,ESLData!$B$1:$B$9960,0))</f>
        <v>0</v>
      </c>
      <c r="J440" s="156" t="s">
        <v>987</v>
      </c>
      <c r="K440" s="142" t="str">
        <f>IF(ISNA(HLOOKUP("start",ESLData!C$1:C$9960,MATCH($A440,ESLData!$B$1:$B$9960,0))),"",HLOOKUP("start",ESLData!C$1:C$9960,MATCH($A440,ESLData!$B$1:$B$9960,0)))</f>
        <v>Publications Ec</v>
      </c>
    </row>
    <row r="441" spans="1:11" ht="14.25" customHeight="1" x14ac:dyDescent="0.2">
      <c r="A441" s="144">
        <v>35980</v>
      </c>
      <c r="C441" s="143">
        <f>HLOOKUP("start",ESLData!E$1:E$9960,MATCH($A441,ESLData!$B$1:$B$9960,0))</f>
        <v>0</v>
      </c>
      <c r="E441" s="143">
        <f>HLOOKUP("start",ESLData!F$1:F$9960,MATCH($A441,ESLData!$B$1:$B$9960,0))</f>
        <v>0</v>
      </c>
      <c r="G441" s="143">
        <f>HLOOKUP("start",ESLData!H$1:H$9960,MATCH($A441,ESLData!$B$1:$B$9960,0))</f>
        <v>0</v>
      </c>
      <c r="J441" s="156" t="s">
        <v>987</v>
      </c>
      <c r="K441" s="142" t="str">
        <f>IF(ISNA(HLOOKUP("start",ESLData!C$1:C$9960,MATCH($A441,ESLData!$B$1:$B$9960,0))),"",HLOOKUP("start",ESLData!C$1:C$9960,MATCH($A441,ESLData!$B$1:$B$9960,0)))</f>
        <v>Staff Travel/Accommodation Ec</v>
      </c>
    </row>
    <row r="442" spans="1:11" ht="14.25" customHeight="1" x14ac:dyDescent="0.2">
      <c r="A442" s="144">
        <v>36002</v>
      </c>
      <c r="C442" s="143">
        <f>HLOOKUP("start",ESLData!E$1:E$9960,MATCH($A442,ESLData!$B$1:$B$9960,0))</f>
        <v>729.69</v>
      </c>
      <c r="E442" s="143">
        <f>HLOOKUP("start",ESLData!F$1:F$9960,MATCH($A442,ESLData!$B$1:$B$9960,0))</f>
        <v>400</v>
      </c>
      <c r="G442" s="143">
        <f>HLOOKUP("start",ESLData!H$1:H$9960,MATCH($A442,ESLData!$B$1:$B$9960,0))</f>
        <v>133.02000000000001</v>
      </c>
      <c r="J442" s="156" t="s">
        <v>987</v>
      </c>
      <c r="K442" s="142" t="str">
        <f>IF(ISNA(HLOOKUP("start",ESLData!C$1:C$9960,MATCH($A442,ESLData!$B$1:$B$9960,0))),"",HLOOKUP("start",ESLData!C$1:C$9960,MATCH($A442,ESLData!$B$1:$B$9960,0)))</f>
        <v>BELS - Publications</v>
      </c>
    </row>
    <row r="443" spans="1:11" ht="14.25" customHeight="1" x14ac:dyDescent="0.2">
      <c r="A443" s="144">
        <v>36003</v>
      </c>
      <c r="C443" s="143">
        <f>HLOOKUP("start",ESLData!E$1:E$9960,MATCH($A443,ESLData!$B$1:$B$9960,0))</f>
        <v>201.3</v>
      </c>
      <c r="E443" s="143">
        <f>HLOOKUP("start",ESLData!F$1:F$9960,MATCH($A443,ESLData!$B$1:$B$9960,0))</f>
        <v>250</v>
      </c>
      <c r="G443" s="143">
        <f>HLOOKUP("start",ESLData!H$1:H$9960,MATCH($A443,ESLData!$B$1:$B$9960,0))</f>
        <v>175</v>
      </c>
      <c r="J443" s="156" t="s">
        <v>987</v>
      </c>
      <c r="K443" s="142" t="str">
        <f>IF(ISNA(HLOOKUP("start",ESLData!C$1:C$9960,MATCH($A443,ESLData!$B$1:$B$9960,0))),"",HLOOKUP("start",ESLData!C$1:C$9960,MATCH($A443,ESLData!$B$1:$B$9960,0)))</f>
        <v>BELS - Whanau events/excursions</v>
      </c>
    </row>
    <row r="444" spans="1:11" ht="14.25" customHeight="1" x14ac:dyDescent="0.2">
      <c r="A444" s="144">
        <v>36004</v>
      </c>
      <c r="C444" s="143">
        <f>HLOOKUP("start",ESLData!E$1:E$9960,MATCH($A444,ESLData!$B$1:$B$9960,0))</f>
        <v>768.04</v>
      </c>
      <c r="E444" s="143">
        <f>HLOOKUP("start",ESLData!F$1:F$9960,MATCH($A444,ESLData!$B$1:$B$9960,0))</f>
        <v>750</v>
      </c>
      <c r="G444" s="143">
        <f>HLOOKUP("start",ESLData!H$1:H$9960,MATCH($A444,ESLData!$B$1:$B$9960,0))</f>
        <v>566.4</v>
      </c>
      <c r="J444" s="156" t="s">
        <v>987</v>
      </c>
      <c r="K444" s="142" t="str">
        <f>IF(ISNA(HLOOKUP("start",ESLData!C$1:C$9960,MATCH($A444,ESLData!$B$1:$B$9960,0))),"",HLOOKUP("start",ESLData!C$1:C$9960,MATCH($A444,ESLData!$B$1:$B$9960,0)))</f>
        <v>BELS - Learning Resources</v>
      </c>
    </row>
    <row r="445" spans="1:11" ht="14.25" customHeight="1" x14ac:dyDescent="0.2">
      <c r="A445" s="144">
        <v>36005</v>
      </c>
      <c r="C445" s="143">
        <f>HLOOKUP("start",ESLData!E$1:E$9960,MATCH($A445,ESLData!$B$1:$B$9960,0))</f>
        <v>28487.94</v>
      </c>
      <c r="E445" s="143">
        <f>HLOOKUP("start",ESLData!F$1:F$9960,MATCH($A445,ESLData!$B$1:$B$9960,0))</f>
        <v>35000</v>
      </c>
      <c r="G445" s="143">
        <f>HLOOKUP("start",ESLData!H$1:H$9960,MATCH($A445,ESLData!$B$1:$B$9960,0))</f>
        <v>5748.78</v>
      </c>
      <c r="J445" s="156" t="s">
        <v>987</v>
      </c>
      <c r="K445" s="142" t="str">
        <f>IF(ISNA(HLOOKUP("start",ESLData!C$1:C$9960,MATCH($A445,ESLData!$B$1:$B$9960,0))),"",HLOOKUP("start",ESLData!C$1:C$9960,MATCH($A445,ESLData!$B$1:$B$9960,0)))</f>
        <v>BELS Child &amp; Family Immersion Courses</v>
      </c>
    </row>
    <row r="446" spans="1:11" ht="14.25" customHeight="1" x14ac:dyDescent="0.2">
      <c r="A446" s="144">
        <v>36006</v>
      </c>
      <c r="C446" s="143">
        <f>HLOOKUP("start",ESLData!E$1:E$9960,MATCH($A446,ESLData!$B$1:$B$9960,0))</f>
        <v>5556.11</v>
      </c>
      <c r="E446" s="143">
        <f>HLOOKUP("start",ESLData!F$1:F$9960,MATCH($A446,ESLData!$B$1:$B$9960,0))</f>
        <v>6300</v>
      </c>
      <c r="G446" s="143">
        <f>HLOOKUP("start",ESLData!H$1:H$9960,MATCH($A446,ESLData!$B$1:$B$9960,0))</f>
        <v>2683.31</v>
      </c>
      <c r="J446" s="156" t="s">
        <v>987</v>
      </c>
      <c r="K446" s="142" t="str">
        <f>IF(ISNA(HLOOKUP("start",ESLData!C$1:C$9960,MATCH($A446,ESLData!$B$1:$B$9960,0))),"",HLOOKUP("start",ESLData!C$1:C$9960,MATCH($A446,ESLData!$B$1:$B$9960,0)))</f>
        <v>BELS Programme Planning &amp; Sharing</v>
      </c>
    </row>
    <row r="447" spans="1:11" ht="14.25" customHeight="1" x14ac:dyDescent="0.2">
      <c r="A447" s="144">
        <v>36014</v>
      </c>
      <c r="C447" s="143">
        <f>HLOOKUP("start",ESLData!E$1:E$9960,MATCH($A447,ESLData!$B$1:$B$9960,0))</f>
        <v>256.04000000000002</v>
      </c>
      <c r="E447" s="143">
        <f>HLOOKUP("start",ESLData!F$1:F$9960,MATCH($A447,ESLData!$B$1:$B$9960,0))</f>
        <v>400</v>
      </c>
      <c r="G447" s="143">
        <f>HLOOKUP("start",ESLData!H$1:H$9960,MATCH($A447,ESLData!$B$1:$B$9960,0))</f>
        <v>0</v>
      </c>
      <c r="J447" s="156" t="s">
        <v>987</v>
      </c>
      <c r="K447" s="142" t="str">
        <f>IF(ISNA(HLOOKUP("start",ESLData!C$1:C$9960,MATCH($A447,ESLData!$B$1:$B$9960,0))),"",HLOOKUP("start",ESLData!C$1:C$9960,MATCH($A447,ESLData!$B$1:$B$9960,0)))</f>
        <v>BELS - Subs/Membership</v>
      </c>
    </row>
    <row r="448" spans="1:11" ht="14.25" customHeight="1" x14ac:dyDescent="0.2">
      <c r="A448" s="144">
        <v>36023</v>
      </c>
      <c r="C448" s="143">
        <f>HLOOKUP("start",ESLData!E$1:E$9960,MATCH($A448,ESLData!$B$1:$B$9960,0))</f>
        <v>2514.41</v>
      </c>
      <c r="E448" s="143">
        <f>HLOOKUP("start",ESLData!F$1:F$9960,MATCH($A448,ESLData!$B$1:$B$9960,0))</f>
        <v>2500</v>
      </c>
      <c r="G448" s="143">
        <f>HLOOKUP("start",ESLData!H$1:H$9960,MATCH($A448,ESLData!$B$1:$B$9960,0))</f>
        <v>2234.11</v>
      </c>
      <c r="J448" s="156" t="s">
        <v>987</v>
      </c>
      <c r="K448" s="142" t="str">
        <f>IF(ISNA(HLOOKUP("start",ESLData!C$1:C$9960,MATCH($A448,ESLData!$B$1:$B$9960,0))),"",HLOOKUP("start",ESLData!C$1:C$9960,MATCH($A448,ESLData!$B$1:$B$9960,0)))</f>
        <v>Consumables</v>
      </c>
    </row>
    <row r="449" spans="1:11" ht="14.25" customHeight="1" x14ac:dyDescent="0.2">
      <c r="A449" s="144">
        <v>36024</v>
      </c>
      <c r="C449" s="143">
        <f>HLOOKUP("start",ESLData!E$1:E$9960,MATCH($A449,ESLData!$B$1:$B$9960,0))</f>
        <v>1219.47</v>
      </c>
      <c r="E449" s="143">
        <f>HLOOKUP("start",ESLData!F$1:F$9960,MATCH($A449,ESLData!$B$1:$B$9960,0))</f>
        <v>2500</v>
      </c>
      <c r="G449" s="143">
        <f>HLOOKUP("start",ESLData!H$1:H$9960,MATCH($A449,ESLData!$B$1:$B$9960,0))</f>
        <v>3034.49</v>
      </c>
      <c r="J449" s="156" t="s">
        <v>987</v>
      </c>
      <c r="K449" s="142" t="str">
        <f>IF(ISNA(HLOOKUP("start",ESLData!C$1:C$9960,MATCH($A449,ESLData!$B$1:$B$9960,0))),"",HLOOKUP("start",ESLData!C$1:C$9960,MATCH($A449,ESLData!$B$1:$B$9960,0)))</f>
        <v>Consumables - National</v>
      </c>
    </row>
    <row r="450" spans="1:11" ht="14.25" customHeight="1" x14ac:dyDescent="0.2">
      <c r="A450" s="144">
        <v>36025</v>
      </c>
      <c r="C450" s="143">
        <f>HLOOKUP("start",ESLData!E$1:E$9960,MATCH($A450,ESLData!$B$1:$B$9960,0))</f>
        <v>658.05</v>
      </c>
      <c r="E450" s="143">
        <f>HLOOKUP("start",ESLData!F$1:F$9960,MATCH($A450,ESLData!$B$1:$B$9960,0))</f>
        <v>700</v>
      </c>
      <c r="G450" s="143">
        <f>HLOOKUP("start",ESLData!H$1:H$9960,MATCH($A450,ESLData!$B$1:$B$9960,0))</f>
        <v>504.35</v>
      </c>
      <c r="J450" s="156" t="s">
        <v>987</v>
      </c>
      <c r="K450" s="142" t="str">
        <f>IF(ISNA(HLOOKUP("start",ESLData!C$1:C$9960,MATCH($A450,ESLData!$B$1:$B$9960,0))),"",HLOOKUP("start",ESLData!C$1:C$9960,MATCH($A450,ESLData!$B$1:$B$9960,0)))</f>
        <v>Photocopying</v>
      </c>
    </row>
    <row r="451" spans="1:11" ht="14.25" customHeight="1" x14ac:dyDescent="0.2">
      <c r="A451" s="144">
        <v>36026</v>
      </c>
      <c r="C451" s="143">
        <f>HLOOKUP("start",ESLData!E$1:E$9960,MATCH($A451,ESLData!$B$1:$B$9960,0))</f>
        <v>513.09</v>
      </c>
      <c r="E451" s="143">
        <f>HLOOKUP("start",ESLData!F$1:F$9960,MATCH($A451,ESLData!$B$1:$B$9960,0))</f>
        <v>850</v>
      </c>
      <c r="G451" s="143">
        <f>HLOOKUP("start",ESLData!H$1:H$9960,MATCH($A451,ESLData!$B$1:$B$9960,0))</f>
        <v>113.31</v>
      </c>
      <c r="J451" s="156" t="s">
        <v>987</v>
      </c>
      <c r="K451" s="142" t="str">
        <f>IF(ISNA(HLOOKUP("start",ESLData!C$1:C$9960,MATCH($A451,ESLData!$B$1:$B$9960,0))),"",HLOOKUP("start",ESLData!C$1:C$9960,MATCH($A451,ESLData!$B$1:$B$9960,0)))</f>
        <v>Printing/Stationery</v>
      </c>
    </row>
    <row r="452" spans="1:11" ht="14.25" customHeight="1" x14ac:dyDescent="0.2">
      <c r="A452" s="144">
        <v>36027</v>
      </c>
      <c r="C452" s="143">
        <f>HLOOKUP("start",ESLData!E$1:E$9960,MATCH($A452,ESLData!$B$1:$B$9960,0))</f>
        <v>0</v>
      </c>
      <c r="E452" s="143">
        <f>HLOOKUP("start",ESLData!F$1:F$9960,MATCH($A452,ESLData!$B$1:$B$9960,0))</f>
        <v>0</v>
      </c>
      <c r="G452" s="143">
        <f>HLOOKUP("start",ESLData!H$1:H$9960,MATCH($A452,ESLData!$B$1:$B$9960,0))</f>
        <v>0</v>
      </c>
      <c r="J452" s="156" t="s">
        <v>987</v>
      </c>
      <c r="K452" s="142" t="str">
        <f>IF(ISNA(HLOOKUP("start",ESLData!C$1:C$9960,MATCH($A452,ESLData!$B$1:$B$9960,0))),"",HLOOKUP("start",ESLData!C$1:C$9960,MATCH($A452,ESLData!$B$1:$B$9960,0)))</f>
        <v>Bank Fees</v>
      </c>
    </row>
    <row r="453" spans="1:11" ht="14.25" customHeight="1" x14ac:dyDescent="0.2">
      <c r="A453" s="144">
        <v>37010</v>
      </c>
      <c r="C453" s="143">
        <f>HLOOKUP("start",ESLData!E$1:E$9960,MATCH($A453,ESLData!$B$1:$B$9960,0))</f>
        <v>23791.69</v>
      </c>
      <c r="E453" s="143">
        <f>HLOOKUP("start",ESLData!F$1:F$9960,MATCH($A453,ESLData!$B$1:$B$9960,0))</f>
        <v>27500</v>
      </c>
      <c r="G453" s="143">
        <f>HLOOKUP("start",ESLData!H$1:H$9960,MATCH($A453,ESLData!$B$1:$B$9960,0))</f>
        <v>23677.56</v>
      </c>
      <c r="J453" s="156" t="s">
        <v>987</v>
      </c>
      <c r="K453" s="142" t="str">
        <f>IF(ISNA(HLOOKUP("start",ESLData!C$1:C$9960,MATCH($A453,ESLData!$B$1:$B$9960,0))),"",HLOOKUP("start",ESLData!C$1:C$9960,MATCH($A453,ESLData!$B$1:$B$9960,0)))</f>
        <v>Client Travel</v>
      </c>
    </row>
    <row r="454" spans="1:11" ht="14.25" customHeight="1" x14ac:dyDescent="0.2">
      <c r="A454" s="144">
        <v>37015</v>
      </c>
      <c r="C454" s="143">
        <f>HLOOKUP("start",ESLData!E$1:E$9960,MATCH($A454,ESLData!$B$1:$B$9960,0))</f>
        <v>49818.87</v>
      </c>
      <c r="E454" s="143">
        <f>HLOOKUP("start",ESLData!F$1:F$9960,MATCH($A454,ESLData!$B$1:$B$9960,0))</f>
        <v>40000</v>
      </c>
      <c r="G454" s="143">
        <f>HLOOKUP("start",ESLData!H$1:H$9960,MATCH($A454,ESLData!$B$1:$B$9960,0))</f>
        <v>37377.699999999997</v>
      </c>
      <c r="J454" s="156" t="s">
        <v>987</v>
      </c>
      <c r="K454" s="142" t="str">
        <f>IF(ISNA(HLOOKUP("start",ESLData!C$1:C$9960,MATCH($A454,ESLData!$B$1:$B$9960,0))),"",HLOOKUP("start",ESLData!C$1:C$9960,MATCH($A454,ESLData!$B$1:$B$9960,0)))</f>
        <v>Regional Based Full Assessment</v>
      </c>
    </row>
    <row r="455" spans="1:11" ht="14.25" customHeight="1" x14ac:dyDescent="0.2">
      <c r="A455" s="144">
        <v>37040</v>
      </c>
      <c r="C455" s="143">
        <f>HLOOKUP("start",ESLData!E$1:E$9960,MATCH($A455,ESLData!$B$1:$B$9960,0))</f>
        <v>33816.400000000001</v>
      </c>
      <c r="E455" s="143">
        <f>HLOOKUP("start",ESLData!F$1:F$9960,MATCH($A455,ESLData!$B$1:$B$9960,0))</f>
        <v>36000</v>
      </c>
      <c r="G455" s="143">
        <f>HLOOKUP("start",ESLData!H$1:H$9960,MATCH($A455,ESLData!$B$1:$B$9960,0))</f>
        <v>30051.599999999999</v>
      </c>
      <c r="J455" s="156" t="s">
        <v>987</v>
      </c>
      <c r="K455" s="142" t="str">
        <f>IF(ISNA(HLOOKUP("start",ESLData!C$1:C$9960,MATCH($A455,ESLData!$B$1:$B$9960,0))),"",HLOOKUP("start",ESLData!C$1:C$9960,MATCH($A455,ESLData!$B$1:$B$9960,0)))</f>
        <v>Opthalmologist</v>
      </c>
    </row>
    <row r="456" spans="1:11" ht="14.25" customHeight="1" x14ac:dyDescent="0.2">
      <c r="A456" s="145">
        <v>37041</v>
      </c>
      <c r="C456" s="143">
        <f>HLOOKUP("start",ESLData!E$1:E$9960,MATCH($A456,ESLData!$B$1:$B$9960,0))</f>
        <v>0</v>
      </c>
      <c r="E456" s="143">
        <f>HLOOKUP("start",ESLData!F$1:F$9960,MATCH($A456,ESLData!$B$1:$B$9960,0))</f>
        <v>0</v>
      </c>
      <c r="G456" s="143">
        <f>HLOOKUP("start",ESLData!H$1:H$9960,MATCH($A456,ESLData!$B$1:$B$9960,0))</f>
        <v>-9.52</v>
      </c>
      <c r="J456" s="156" t="s">
        <v>987</v>
      </c>
      <c r="K456" s="142" t="str">
        <f>IF(ISNA(HLOOKUP("start",ESLData!C$1:C$9960,MATCH($A456,ESLData!$B$1:$B$9960,0))),"",HLOOKUP("start",ESLData!C$1:C$9960,MATCH($A456,ESLData!$B$1:$B$9960,0)))</f>
        <v>Assessment Stock On Hand</v>
      </c>
    </row>
    <row r="457" spans="1:11" ht="14.25" customHeight="1" x14ac:dyDescent="0.2">
      <c r="A457" s="144">
        <v>37050</v>
      </c>
      <c r="C457" s="143">
        <f>HLOOKUP("start",ESLData!E$1:E$9960,MATCH($A457,ESLData!$B$1:$B$9960,0))</f>
        <v>0</v>
      </c>
      <c r="E457" s="143">
        <f>HLOOKUP("start",ESLData!F$1:F$9960,MATCH($A457,ESLData!$B$1:$B$9960,0))</f>
        <v>28000</v>
      </c>
      <c r="G457" s="143">
        <f>HLOOKUP("start",ESLData!H$1:H$9960,MATCH($A457,ESLData!$B$1:$B$9960,0))</f>
        <v>0</v>
      </c>
      <c r="J457" s="156" t="s">
        <v>987</v>
      </c>
      <c r="K457" s="142" t="str">
        <f>IF(ISNA(HLOOKUP("start",ESLData!C$1:C$9960,MATCH($A457,ESLData!$B$1:$B$9960,0))),"",HLOOKUP("start",ESLData!C$1:C$9960,MATCH($A457,ESLData!$B$1:$B$9960,0)))</f>
        <v>Paediatrician</v>
      </c>
    </row>
    <row r="458" spans="1:11" ht="14.25" customHeight="1" x14ac:dyDescent="0.2">
      <c r="A458" s="144">
        <v>37060</v>
      </c>
      <c r="C458" s="143">
        <f>HLOOKUP("start",ESLData!E$1:E$9960,MATCH($A458,ESLData!$B$1:$B$9960,0))</f>
        <v>19341.09</v>
      </c>
      <c r="E458" s="143">
        <f>HLOOKUP("start",ESLData!F$1:F$9960,MATCH($A458,ESLData!$B$1:$B$9960,0))</f>
        <v>19000</v>
      </c>
      <c r="G458" s="143">
        <f>HLOOKUP("start",ESLData!H$1:H$9960,MATCH($A458,ESLData!$B$1:$B$9960,0))</f>
        <v>15931.31</v>
      </c>
      <c r="J458" s="156" t="s">
        <v>987</v>
      </c>
      <c r="K458" s="142" t="str">
        <f>IF(ISNA(HLOOKUP("start",ESLData!C$1:C$9960,MATCH($A458,ESLData!$B$1:$B$9960,0))),"",HLOOKUP("start",ESLData!C$1:C$9960,MATCH($A458,ESLData!$B$1:$B$9960,0)))</f>
        <v>Optometrist</v>
      </c>
    </row>
    <row r="459" spans="1:11" ht="14.25" customHeight="1" x14ac:dyDescent="0.2">
      <c r="A459" s="144">
        <v>37070</v>
      </c>
      <c r="C459" s="143">
        <f>HLOOKUP("start",ESLData!E$1:E$9960,MATCH($A459,ESLData!$B$1:$B$9960,0))</f>
        <v>26978.51</v>
      </c>
      <c r="E459" s="143">
        <f>HLOOKUP("start",ESLData!F$1:F$9960,MATCH($A459,ESLData!$B$1:$B$9960,0))</f>
        <v>17880</v>
      </c>
      <c r="G459" s="143">
        <f>HLOOKUP("start",ESLData!H$1:H$9960,MATCH($A459,ESLData!$B$1:$B$9960,0))</f>
        <v>982.04</v>
      </c>
      <c r="J459" s="156" t="s">
        <v>987</v>
      </c>
      <c r="K459" s="142" t="str">
        <f>IF(ISNA(HLOOKUP("start",ESLData!C$1:C$9960,MATCH($A459,ESLData!$B$1:$B$9960,0))),"",HLOOKUP("start",ESLData!C$1:C$9960,MATCH($A459,ESLData!$B$1:$B$9960,0)))</f>
        <v>Orientation &amp; Mobility</v>
      </c>
    </row>
    <row r="460" spans="1:11" ht="14.25" customHeight="1" x14ac:dyDescent="0.2">
      <c r="A460" s="144">
        <v>37080</v>
      </c>
      <c r="C460" s="143">
        <f>HLOOKUP("start",ESLData!E$1:E$9960,MATCH($A460,ESLData!$B$1:$B$9960,0))</f>
        <v>40454.36</v>
      </c>
      <c r="E460" s="143">
        <f>HLOOKUP("start",ESLData!F$1:F$9960,MATCH($A460,ESLData!$B$1:$B$9960,0))</f>
        <v>34600</v>
      </c>
      <c r="G460" s="143">
        <f>HLOOKUP("start",ESLData!H$1:H$9960,MATCH($A460,ESLData!$B$1:$B$9960,0))</f>
        <v>33634.120000000003</v>
      </c>
      <c r="J460" s="156" t="s">
        <v>987</v>
      </c>
      <c r="K460" s="142" t="str">
        <f>IF(ISNA(HLOOKUP("start",ESLData!C$1:C$9960,MATCH($A460,ESLData!$B$1:$B$9960,0))),"",HLOOKUP("start",ESLData!C$1:C$9960,MATCH($A460,ESLData!$B$1:$B$9960,0)))</f>
        <v>Speech Language</v>
      </c>
    </row>
    <row r="461" spans="1:11" ht="14.25" customHeight="1" x14ac:dyDescent="0.2">
      <c r="A461" s="144">
        <v>37085</v>
      </c>
      <c r="C461" s="143">
        <f>HLOOKUP("start",ESLData!E$1:E$9960,MATCH($A461,ESLData!$B$1:$B$9960,0))</f>
        <v>0</v>
      </c>
      <c r="E461" s="143">
        <f>HLOOKUP("start",ESLData!F$1:F$9960,MATCH($A461,ESLData!$B$1:$B$9960,0))</f>
        <v>0</v>
      </c>
      <c r="G461" s="143">
        <f>HLOOKUP("start",ESLData!H$1:H$9960,MATCH($A461,ESLData!$B$1:$B$9960,0))</f>
        <v>0</v>
      </c>
      <c r="J461" s="156" t="s">
        <v>987</v>
      </c>
      <c r="K461" s="142" t="str">
        <f>IF(ISNA(HLOOKUP("start",ESLData!C$1:C$9960,MATCH($A461,ESLData!$B$1:$B$9960,0))),"",HLOOKUP("start",ESLData!C$1:C$9960,MATCH($A461,ESLData!$B$1:$B$9960,0)))</f>
        <v>Audiologist</v>
      </c>
    </row>
    <row r="462" spans="1:11" ht="14.25" customHeight="1" x14ac:dyDescent="0.2">
      <c r="A462" s="144">
        <v>37090</v>
      </c>
      <c r="C462" s="143">
        <f>HLOOKUP("start",ESLData!E$1:E$9960,MATCH($A462,ESLData!$B$1:$B$9960,0))</f>
        <v>7386.96</v>
      </c>
      <c r="E462" s="143">
        <f>HLOOKUP("start",ESLData!F$1:F$9960,MATCH($A462,ESLData!$B$1:$B$9960,0))</f>
        <v>8000</v>
      </c>
      <c r="G462" s="143">
        <f>HLOOKUP("start",ESLData!H$1:H$9960,MATCH($A462,ESLData!$B$1:$B$9960,0))</f>
        <v>3460.87</v>
      </c>
      <c r="J462" s="156" t="s">
        <v>987</v>
      </c>
      <c r="K462" s="142" t="str">
        <f>IF(ISNA(HLOOKUP("start",ESLData!C$1:C$9960,MATCH($A462,ESLData!$B$1:$B$9960,0))),"",HLOOKUP("start",ESLData!C$1:C$9960,MATCH($A462,ESLData!$B$1:$B$9960,0)))</f>
        <v>Ses Sp Psychologist</v>
      </c>
    </row>
    <row r="463" spans="1:11" ht="14.25" customHeight="1" x14ac:dyDescent="0.2">
      <c r="A463" s="144">
        <v>37130</v>
      </c>
      <c r="C463" s="143">
        <f>HLOOKUP("start",ESLData!E$1:E$9960,MATCH($A463,ESLData!$B$1:$B$9960,0))</f>
        <v>22183</v>
      </c>
      <c r="E463" s="143">
        <f>HLOOKUP("start",ESLData!F$1:F$9960,MATCH($A463,ESLData!$B$1:$B$9960,0))</f>
        <v>19000</v>
      </c>
      <c r="G463" s="143">
        <f>HLOOKUP("start",ESLData!H$1:H$9960,MATCH($A463,ESLData!$B$1:$B$9960,0))</f>
        <v>21798.7</v>
      </c>
      <c r="J463" s="156" t="s">
        <v>987</v>
      </c>
      <c r="K463" s="142" t="str">
        <f>IF(ISNA(HLOOKUP("start",ESLData!C$1:C$9960,MATCH($A463,ESLData!$B$1:$B$9960,0))),"",HLOOKUP("start",ESLData!C$1:C$9960,MATCH($A463,ESLData!$B$1:$B$9960,0)))</f>
        <v>Physiotherapy Contract</v>
      </c>
    </row>
    <row r="464" spans="1:11" ht="14.25" customHeight="1" x14ac:dyDescent="0.2">
      <c r="A464" s="144">
        <v>37140</v>
      </c>
      <c r="C464" s="143">
        <f>HLOOKUP("start",ESLData!E$1:E$9960,MATCH($A464,ESLData!$B$1:$B$9960,0))</f>
        <v>17056.8</v>
      </c>
      <c r="E464" s="143">
        <f>HLOOKUP("start",ESLData!F$1:F$9960,MATCH($A464,ESLData!$B$1:$B$9960,0))</f>
        <v>38000</v>
      </c>
      <c r="G464" s="143">
        <f>HLOOKUP("start",ESLData!H$1:H$9960,MATCH($A464,ESLData!$B$1:$B$9960,0))</f>
        <v>17028.990000000002</v>
      </c>
      <c r="J464" s="156" t="s">
        <v>987</v>
      </c>
      <c r="K464" s="142" t="str">
        <f>IF(ISNA(HLOOKUP("start",ESLData!C$1:C$9960,MATCH($A464,ESLData!$B$1:$B$9960,0))),"",HLOOKUP("start",ESLData!C$1:C$9960,MATCH($A464,ESLData!$B$1:$B$9960,0)))</f>
        <v>Occupational Therapy Contract</v>
      </c>
    </row>
    <row r="465" spans="1:11" ht="14.25" customHeight="1" x14ac:dyDescent="0.2">
      <c r="A465" s="144">
        <v>37142</v>
      </c>
      <c r="C465" s="143">
        <f>HLOOKUP("start",ESLData!E$1:E$9960,MATCH($A465,ESLData!$B$1:$B$9960,0))</f>
        <v>0</v>
      </c>
      <c r="E465" s="143">
        <f>HLOOKUP("start",ESLData!F$1:F$9960,MATCH($A465,ESLData!$B$1:$B$9960,0))</f>
        <v>0</v>
      </c>
      <c r="G465" s="143">
        <f>HLOOKUP("start",ESLData!H$1:H$9960,MATCH($A465,ESLData!$B$1:$B$9960,0))</f>
        <v>0</v>
      </c>
      <c r="J465" s="156" t="s">
        <v>987</v>
      </c>
      <c r="K465" s="142" t="str">
        <f>IF(ISNA(HLOOKUP("start",ESLData!C$1:C$9960,MATCH($A465,ESLData!$B$1:$B$9960,0))),"",HLOOKUP("start",ESLData!C$1:C$9960,MATCH($A465,ESLData!$B$1:$B$9960,0)))</f>
        <v>ADL Contract</v>
      </c>
    </row>
    <row r="466" spans="1:11" ht="14.25" customHeight="1" x14ac:dyDescent="0.2">
      <c r="A466" s="144">
        <v>37143</v>
      </c>
      <c r="C466" s="143">
        <f>HLOOKUP("start",ESLData!E$1:E$9960,MATCH($A466,ESLData!$B$1:$B$9960,0))</f>
        <v>20275</v>
      </c>
      <c r="E466" s="143">
        <f>HLOOKUP("start",ESLData!F$1:F$9960,MATCH($A466,ESLData!$B$1:$B$9960,0))</f>
        <v>30000</v>
      </c>
      <c r="G466" s="143">
        <f>HLOOKUP("start",ESLData!H$1:H$9960,MATCH($A466,ESLData!$B$1:$B$9960,0))</f>
        <v>23712.5</v>
      </c>
      <c r="J466" s="156"/>
    </row>
    <row r="467" spans="1:11" ht="14.25" customHeight="1" x14ac:dyDescent="0.2">
      <c r="A467" s="144">
        <v>37145</v>
      </c>
      <c r="C467" s="143">
        <f>HLOOKUP("start",ESLData!E$1:E$9960,MATCH($A467,ESLData!$B$1:$B$9960,0))</f>
        <v>1200</v>
      </c>
      <c r="E467" s="143">
        <f>HLOOKUP("start",ESLData!F$1:F$9960,MATCH($A467,ESLData!$B$1:$B$9960,0))</f>
        <v>4000</v>
      </c>
      <c r="G467" s="143">
        <f>HLOOKUP("start",ESLData!H$1:H$9960,MATCH($A467,ESLData!$B$1:$B$9960,0))</f>
        <v>1270</v>
      </c>
      <c r="J467" s="156" t="s">
        <v>987</v>
      </c>
      <c r="K467" s="142" t="str">
        <f>IF(ISNA(HLOOKUP("start",ESLData!C$1:C$9960,MATCH($A467,ESLData!$B$1:$B$9960,0))),"",HLOOKUP("start",ESLData!C$1:C$9960,MATCH($A467,ESLData!$B$1:$B$9960,0)))</f>
        <v>Interpreter Costs</v>
      </c>
    </row>
    <row r="468" spans="1:11" ht="14.25" customHeight="1" x14ac:dyDescent="0.2">
      <c r="A468" s="144">
        <v>37160</v>
      </c>
      <c r="C468" s="143">
        <f>HLOOKUP("start",ESLData!E$1:E$9960,MATCH($A468,ESLData!$B$1:$B$9960,0))</f>
        <v>9450.7000000000007</v>
      </c>
      <c r="E468" s="143">
        <f>HLOOKUP("start",ESLData!F$1:F$9960,MATCH($A468,ESLData!$B$1:$B$9960,0))</f>
        <v>8000</v>
      </c>
      <c r="G468" s="143">
        <f>HLOOKUP("start",ESLData!H$1:H$9960,MATCH($A468,ESLData!$B$1:$B$9960,0))</f>
        <v>4342.83</v>
      </c>
      <c r="J468" s="156" t="s">
        <v>987</v>
      </c>
      <c r="K468" s="142" t="str">
        <f>IF(ISNA(HLOOKUP("start",ESLData!C$1:C$9960,MATCH($A468,ESLData!$B$1:$B$9960,0))),"",HLOOKUP("start",ESLData!C$1:C$9960,MATCH($A468,ESLData!$B$1:$B$9960,0)))</f>
        <v>Consumables</v>
      </c>
    </row>
    <row r="469" spans="1:11" ht="14.25" customHeight="1" x14ac:dyDescent="0.2">
      <c r="A469" s="144">
        <v>37180</v>
      </c>
      <c r="C469" s="143">
        <f>HLOOKUP("start",ESLData!E$1:E$9960,MATCH($A469,ESLData!$B$1:$B$9960,0))</f>
        <v>1270.0999999999999</v>
      </c>
      <c r="E469" s="143">
        <f>HLOOKUP("start",ESLData!F$1:F$9960,MATCH($A469,ESLData!$B$1:$B$9960,0))</f>
        <v>2200</v>
      </c>
      <c r="G469" s="143">
        <f>HLOOKUP("start",ESLData!H$1:H$9960,MATCH($A469,ESLData!$B$1:$B$9960,0))</f>
        <v>85.25</v>
      </c>
      <c r="J469" s="156" t="s">
        <v>987</v>
      </c>
      <c r="K469" s="142" t="str">
        <f>IF(ISNA(HLOOKUP("start",ESLData!C$1:C$9960,MATCH($A469,ESLData!$B$1:$B$9960,0))),"",HLOOKUP("start",ESLData!C$1:C$9960,MATCH($A469,ESLData!$B$1:$B$9960,0)))</f>
        <v>Photocopying</v>
      </c>
    </row>
    <row r="470" spans="1:11" ht="14.25" customHeight="1" x14ac:dyDescent="0.2">
      <c r="A470" s="144">
        <v>37185</v>
      </c>
      <c r="C470" s="143">
        <f>HLOOKUP("start",ESLData!E$1:E$9960,MATCH($A470,ESLData!$B$1:$B$9960,0))</f>
        <v>2283.09</v>
      </c>
      <c r="E470" s="143">
        <f>HLOOKUP("start",ESLData!F$1:F$9960,MATCH($A470,ESLData!$B$1:$B$9960,0))</f>
        <v>1400</v>
      </c>
      <c r="G470" s="143">
        <f>HLOOKUP("start",ESLData!H$1:H$9960,MATCH($A470,ESLData!$B$1:$B$9960,0))</f>
        <v>1628.27</v>
      </c>
      <c r="J470" s="156" t="s">
        <v>987</v>
      </c>
      <c r="K470" s="142" t="str">
        <f>IF(ISNA(HLOOKUP("start",ESLData!C$1:C$9960,MATCH($A470,ESLData!$B$1:$B$9960,0))),"",HLOOKUP("start",ESLData!C$1:C$9960,MATCH($A470,ESLData!$B$1:$B$9960,0)))</f>
        <v>Telephone Charges</v>
      </c>
    </row>
    <row r="471" spans="1:11" ht="14.25" customHeight="1" x14ac:dyDescent="0.2">
      <c r="A471" s="144">
        <v>37187</v>
      </c>
      <c r="C471" s="143">
        <f>HLOOKUP("start",ESLData!E$1:E$9960,MATCH($A471,ESLData!$B$1:$B$9960,0))</f>
        <v>328.45</v>
      </c>
      <c r="E471" s="143">
        <f>HLOOKUP("start",ESLData!F$1:F$9960,MATCH($A471,ESLData!$B$1:$B$9960,0))</f>
        <v>800</v>
      </c>
      <c r="G471" s="143">
        <f>HLOOKUP("start",ESLData!H$1:H$9960,MATCH($A471,ESLData!$B$1:$B$9960,0))</f>
        <v>422.79</v>
      </c>
      <c r="J471" s="156" t="s">
        <v>987</v>
      </c>
      <c r="K471" s="142" t="str">
        <f>IF(ISNA(HLOOKUP("start",ESLData!C$1:C$9960,MATCH($A471,ESLData!$B$1:$B$9960,0))),"",HLOOKUP("start",ESLData!C$1:C$9960,MATCH($A471,ESLData!$B$1:$B$9960,0)))</f>
        <v>Stationery</v>
      </c>
    </row>
    <row r="472" spans="1:11" ht="14.25" customHeight="1" x14ac:dyDescent="0.2">
      <c r="A472" s="144">
        <v>37210</v>
      </c>
      <c r="C472" s="143">
        <f>HLOOKUP("start",ESLData!E$1:E$9960,MATCH($A472,ESLData!$B$1:$B$9960,0))</f>
        <v>1203.77</v>
      </c>
      <c r="E472" s="143">
        <f>HLOOKUP("start",ESLData!F$1:F$9960,MATCH($A472,ESLData!$B$1:$B$9960,0))</f>
        <v>400</v>
      </c>
      <c r="G472" s="143">
        <f>HLOOKUP("start",ESLData!H$1:H$9960,MATCH($A472,ESLData!$B$1:$B$9960,0))</f>
        <v>611.12</v>
      </c>
      <c r="J472" s="156" t="s">
        <v>987</v>
      </c>
      <c r="K472" s="142" t="str">
        <f>IF(ISNA(HLOOKUP("start",ESLData!C$1:C$9960,MATCH($A472,ESLData!$B$1:$B$9960,0))),"",HLOOKUP("start",ESLData!C$1:C$9960,MATCH($A472,ESLData!$B$1:$B$9960,0)))</f>
        <v>Publications</v>
      </c>
    </row>
    <row r="473" spans="1:11" ht="14.25" customHeight="1" x14ac:dyDescent="0.2">
      <c r="A473" s="145">
        <v>37340</v>
      </c>
      <c r="C473" s="143">
        <f>HLOOKUP("start",ESLData!E$1:E$9960,MATCH($A473,ESLData!$B$1:$B$9960,0))</f>
        <v>7470.79</v>
      </c>
      <c r="E473" s="143">
        <f>HLOOKUP("start",ESLData!F$1:F$9960,MATCH($A473,ESLData!$B$1:$B$9960,0))</f>
        <v>18000</v>
      </c>
      <c r="G473" s="143">
        <f>HLOOKUP("start",ESLData!H$1:H$9960,MATCH($A473,ESLData!$B$1:$B$9960,0))</f>
        <v>13342.47</v>
      </c>
      <c r="J473" s="156" t="s">
        <v>987</v>
      </c>
      <c r="K473" s="142" t="str">
        <f>IF(ISNA(HLOOKUP("start",ESLData!C$1:C$9960,MATCH($A473,ESLData!$B$1:$B$9960,0))),"",HLOOKUP("start",ESLData!C$1:C$9960,MATCH($A473,ESLData!$B$1:$B$9960,0)))</f>
        <v>Staff Travel &amp; Accommodation</v>
      </c>
    </row>
    <row r="474" spans="1:11" ht="14.25" customHeight="1" x14ac:dyDescent="0.2">
      <c r="A474" s="144">
        <v>37520</v>
      </c>
      <c r="C474" s="143">
        <f>HLOOKUP("start",ESLData!E$1:E$9960,MATCH($A474,ESLData!$B$1:$B$9960,0))</f>
        <v>2740.04</v>
      </c>
      <c r="E474" s="143">
        <f>HLOOKUP("start",ESLData!F$1:F$9960,MATCH($A474,ESLData!$B$1:$B$9960,0))</f>
        <v>20000</v>
      </c>
      <c r="G474" s="143">
        <f>HLOOKUP("start",ESLData!H$1:H$9960,MATCH($A474,ESLData!$B$1:$B$9960,0))</f>
        <v>19381.349999999999</v>
      </c>
      <c r="J474" s="156" t="s">
        <v>987</v>
      </c>
      <c r="K474" s="142" t="str">
        <f>IF(ISNA(HLOOKUP("start",ESLData!C$1:C$9960,MATCH($A474,ESLData!$B$1:$B$9960,0))),"",HLOOKUP("start",ESLData!C$1:C$9960,MATCH($A474,ESLData!$B$1:$B$9960,0)))</f>
        <v>Food</v>
      </c>
    </row>
    <row r="475" spans="1:11" ht="14.25" customHeight="1" x14ac:dyDescent="0.2">
      <c r="A475" s="144">
        <v>37540</v>
      </c>
      <c r="C475" s="143">
        <f>HLOOKUP("start",ESLData!E$1:E$9960,MATCH($A475,ESLData!$B$1:$B$9960,0))</f>
        <v>339.8</v>
      </c>
      <c r="E475" s="143">
        <f>HLOOKUP("start",ESLData!F$1:F$9960,MATCH($A475,ESLData!$B$1:$B$9960,0))</f>
        <v>350</v>
      </c>
      <c r="G475" s="143">
        <f>HLOOKUP("start",ESLData!H$1:H$9960,MATCH($A475,ESLData!$B$1:$B$9960,0))</f>
        <v>0</v>
      </c>
      <c r="J475" s="156" t="s">
        <v>987</v>
      </c>
      <c r="K475" s="142" t="str">
        <f>IF(ISNA(HLOOKUP("start",ESLData!C$1:C$9960,MATCH($A475,ESLData!$B$1:$B$9960,0))),"",HLOOKUP("start",ESLData!C$1:C$9960,MATCH($A475,ESLData!$B$1:$B$9960,0)))</f>
        <v>Consumables</v>
      </c>
    </row>
    <row r="476" spans="1:11" ht="14.25" customHeight="1" x14ac:dyDescent="0.2">
      <c r="A476" s="144">
        <v>37600</v>
      </c>
      <c r="C476" s="143">
        <f>HLOOKUP("start",ESLData!E$1:E$9960,MATCH($A476,ESLData!$B$1:$B$9960,0))</f>
        <v>2000</v>
      </c>
      <c r="E476" s="143">
        <f>HLOOKUP("start",ESLData!F$1:F$9960,MATCH($A476,ESLData!$B$1:$B$9960,0))</f>
        <v>2000</v>
      </c>
      <c r="G476" s="143">
        <f>HLOOKUP("start",ESLData!H$1:H$9960,MATCH($A476,ESLData!$B$1:$B$9960,0))</f>
        <v>1230</v>
      </c>
      <c r="J476" s="156" t="s">
        <v>987</v>
      </c>
      <c r="K476" s="142" t="str">
        <f>IF(ISNA(HLOOKUP("start",ESLData!C$1:C$9960,MATCH($A476,ESLData!$B$1:$B$9960,0))),"",HLOOKUP("start",ESLData!C$1:C$9960,MATCH($A476,ESLData!$B$1:$B$9960,0)))</f>
        <v>Vehicle Lease</v>
      </c>
    </row>
    <row r="477" spans="1:11" ht="14.25" customHeight="1" x14ac:dyDescent="0.2">
      <c r="A477" s="144">
        <v>37610</v>
      </c>
      <c r="C477" s="143">
        <f>HLOOKUP("start",ESLData!E$1:E$9960,MATCH($A477,ESLData!$B$1:$B$9960,0))</f>
        <v>699.67</v>
      </c>
      <c r="E477" s="143">
        <f>HLOOKUP("start",ESLData!F$1:F$9960,MATCH($A477,ESLData!$B$1:$B$9960,0))</f>
        <v>675</v>
      </c>
      <c r="G477" s="143">
        <f>HLOOKUP("start",ESLData!H$1:H$9960,MATCH($A477,ESLData!$B$1:$B$9960,0))</f>
        <v>675</v>
      </c>
      <c r="J477" s="156" t="s">
        <v>987</v>
      </c>
      <c r="K477" s="142" t="str">
        <f>IF(ISNA(HLOOKUP("start",ESLData!C$1:C$9960,MATCH($A477,ESLData!$B$1:$B$9960,0))),"",HLOOKUP("start",ESLData!C$1:C$9960,MATCH($A477,ESLData!$B$1:$B$9960,0)))</f>
        <v>Insurance</v>
      </c>
    </row>
    <row r="478" spans="1:11" ht="14.25" customHeight="1" x14ac:dyDescent="0.2">
      <c r="A478" s="144">
        <v>37620</v>
      </c>
      <c r="C478" s="143">
        <f>HLOOKUP("start",ESLData!E$1:E$9960,MATCH($A478,ESLData!$B$1:$B$9960,0))</f>
        <v>262.83999999999997</v>
      </c>
      <c r="E478" s="143">
        <f>HLOOKUP("start",ESLData!F$1:F$9960,MATCH($A478,ESLData!$B$1:$B$9960,0))</f>
        <v>700</v>
      </c>
      <c r="G478" s="143">
        <f>HLOOKUP("start",ESLData!H$1:H$9960,MATCH($A478,ESLData!$B$1:$B$9960,0))</f>
        <v>618.95000000000005</v>
      </c>
      <c r="J478" s="156" t="s">
        <v>987</v>
      </c>
      <c r="K478" s="142" t="str">
        <f>IF(ISNA(HLOOKUP("start",ESLData!C$1:C$9960,MATCH($A478,ESLData!$B$1:$B$9960,0))),"",HLOOKUP("start",ESLData!C$1:C$9960,MATCH($A478,ESLData!$B$1:$B$9960,0)))</f>
        <v>Petrol</v>
      </c>
    </row>
    <row r="479" spans="1:11" ht="14.25" customHeight="1" x14ac:dyDescent="0.2">
      <c r="A479" s="144">
        <v>37630</v>
      </c>
      <c r="C479" s="143">
        <f>HLOOKUP("start",ESLData!E$1:E$9960,MATCH($A479,ESLData!$B$1:$B$9960,0))</f>
        <v>0</v>
      </c>
      <c r="E479" s="143">
        <f>HLOOKUP("start",ESLData!F$1:F$9960,MATCH($A479,ESLData!$B$1:$B$9960,0))</f>
        <v>0</v>
      </c>
      <c r="G479" s="143">
        <f>HLOOKUP("start",ESLData!H$1:H$9960,MATCH($A479,ESLData!$B$1:$B$9960,0))</f>
        <v>0</v>
      </c>
      <c r="J479" s="156" t="s">
        <v>987</v>
      </c>
      <c r="K479" s="142" t="str">
        <f>IF(ISNA(HLOOKUP("start",ESLData!C$1:C$9960,MATCH($A479,ESLData!$B$1:$B$9960,0))),"",HLOOKUP("start",ESLData!C$1:C$9960,MATCH($A479,ESLData!$B$1:$B$9960,0)))</f>
        <v>Vehicle Registration</v>
      </c>
    </row>
    <row r="480" spans="1:11" ht="14.25" customHeight="1" x14ac:dyDescent="0.2">
      <c r="A480" s="144">
        <v>37640</v>
      </c>
      <c r="C480" s="143">
        <f>HLOOKUP("start",ESLData!E$1:E$9960,MATCH($A480,ESLData!$B$1:$B$9960,0))</f>
        <v>0</v>
      </c>
      <c r="E480" s="143">
        <f>HLOOKUP("start",ESLData!F$1:F$9960,MATCH($A480,ESLData!$B$1:$B$9960,0))</f>
        <v>400</v>
      </c>
      <c r="G480" s="143">
        <f>HLOOKUP("start",ESLData!H$1:H$9960,MATCH($A480,ESLData!$B$1:$B$9960,0))</f>
        <v>0</v>
      </c>
      <c r="J480" s="156" t="s">
        <v>987</v>
      </c>
      <c r="K480" s="142" t="str">
        <f>IF(ISNA(HLOOKUP("start",ESLData!C$1:C$9960,MATCH($A480,ESLData!$B$1:$B$9960,0))),"",HLOOKUP("start",ESLData!C$1:C$9960,MATCH($A480,ESLData!$B$1:$B$9960,0)))</f>
        <v>Vehicle R&amp;M</v>
      </c>
    </row>
    <row r="481" spans="1:11" ht="14.25" customHeight="1" x14ac:dyDescent="0.2">
      <c r="A481" s="145">
        <v>37735</v>
      </c>
      <c r="C481" s="143">
        <f>HLOOKUP("start",ESLData!E$1:E$9960,MATCH($A481,ESLData!$B$1:$B$9960,0))</f>
        <v>0</v>
      </c>
      <c r="E481" s="143">
        <f>HLOOKUP("start",ESLData!F$1:F$9960,MATCH($A481,ESLData!$B$1:$B$9960,0))</f>
        <v>0</v>
      </c>
      <c r="G481" s="143">
        <f>HLOOKUP("start",ESLData!H$1:H$9960,MATCH($A481,ESLData!$B$1:$B$9960,0))</f>
        <v>0</v>
      </c>
      <c r="J481" s="156" t="s">
        <v>987</v>
      </c>
      <c r="K481" s="142" t="str">
        <f>IF(ISNA(HLOOKUP("start",ESLData!C$1:C$9960,MATCH($A481,ESLData!$B$1:$B$9960,0))),"",HLOOKUP("start",ESLData!C$1:C$9960,MATCH($A481,ESLData!$B$1:$B$9960,0)))</f>
        <v>Distance Braille - Consumables</v>
      </c>
    </row>
    <row r="482" spans="1:11" ht="14.25" customHeight="1" x14ac:dyDescent="0.2">
      <c r="A482" s="144">
        <v>39002</v>
      </c>
      <c r="C482" s="143">
        <f>HLOOKUP("start",ESLData!E$1:E$9960,MATCH($A482,ESLData!$B$1:$B$9960,0))</f>
        <v>0</v>
      </c>
      <c r="E482" s="143">
        <f>HLOOKUP("start",ESLData!F$1:F$9960,MATCH($A482,ESLData!$B$1:$B$9960,0))</f>
        <v>0</v>
      </c>
      <c r="G482" s="143">
        <f>HLOOKUP("start",ESLData!H$1:H$9960,MATCH($A482,ESLData!$B$1:$B$9960,0))</f>
        <v>0</v>
      </c>
      <c r="J482" s="156" t="s">
        <v>987</v>
      </c>
      <c r="K482" s="142" t="str">
        <f>IF(ISNA(HLOOKUP("start",ESLData!C$1:C$9960,MATCH($A482,ESLData!$B$1:$B$9960,0))),"",HLOOKUP("start",ESLData!C$1:C$9960,MATCH($A482,ESLData!$B$1:$B$9960,0)))</f>
        <v>Deanwell - Telecommunications</v>
      </c>
    </row>
    <row r="483" spans="1:11" ht="14.25" customHeight="1" x14ac:dyDescent="0.2">
      <c r="A483" s="144">
        <v>39007</v>
      </c>
      <c r="C483" s="143">
        <f>HLOOKUP("start",ESLData!E$1:E$9960,MATCH($A483,ESLData!$B$1:$B$9960,0))</f>
        <v>1093.94</v>
      </c>
      <c r="E483" s="143">
        <f>HLOOKUP("start",ESLData!F$1:F$9960,MATCH($A483,ESLData!$B$1:$B$9960,0))</f>
        <v>500</v>
      </c>
      <c r="G483" s="143">
        <f>HLOOKUP("start",ESLData!H$1:H$9960,MATCH($A483,ESLData!$B$1:$B$9960,0))</f>
        <v>483.08</v>
      </c>
      <c r="J483" s="156" t="s">
        <v>987</v>
      </c>
      <c r="K483" s="142" t="str">
        <f>IF(ISNA(HLOOKUP("start",ESLData!C$1:C$9960,MATCH($A483,ESLData!$B$1:$B$9960,0))),"",HLOOKUP("start",ESLData!C$1:C$9960,MATCH($A483,ESLData!$B$1:$B$9960,0)))</f>
        <v>Hamilton - Photocopying</v>
      </c>
    </row>
    <row r="484" spans="1:11" ht="14.25" customHeight="1" x14ac:dyDescent="0.2">
      <c r="A484" s="144">
        <v>39008</v>
      </c>
      <c r="C484" s="143">
        <f>HLOOKUP("start",ESLData!E$1:E$9960,MATCH($A484,ESLData!$B$1:$B$9960,0))</f>
        <v>1003.01</v>
      </c>
      <c r="E484" s="143">
        <f>HLOOKUP("start",ESLData!F$1:F$9960,MATCH($A484,ESLData!$B$1:$B$9960,0))</f>
        <v>750</v>
      </c>
      <c r="G484" s="143">
        <f>HLOOKUP("start",ESLData!H$1:H$9960,MATCH($A484,ESLData!$B$1:$B$9960,0))</f>
        <v>200.52</v>
      </c>
      <c r="J484" s="156" t="s">
        <v>987</v>
      </c>
      <c r="K484" s="142" t="str">
        <f>IF(ISNA(HLOOKUP("start",ESLData!C$1:C$9960,MATCH($A484,ESLData!$B$1:$B$9960,0))),"",HLOOKUP("start",ESLData!C$1:C$9960,MATCH($A484,ESLData!$B$1:$B$9960,0)))</f>
        <v>Hamilton - Printing/Stationery</v>
      </c>
    </row>
    <row r="485" spans="1:11" ht="14.25" customHeight="1" x14ac:dyDescent="0.2">
      <c r="A485" s="144">
        <v>39009</v>
      </c>
      <c r="C485" s="143">
        <f>HLOOKUP("start",ESLData!E$1:E$9960,MATCH($A485,ESLData!$B$1:$B$9960,0))</f>
        <v>3731.04</v>
      </c>
      <c r="E485" s="143">
        <f>HLOOKUP("start",ESLData!F$1:F$9960,MATCH($A485,ESLData!$B$1:$B$9960,0))</f>
        <v>4200</v>
      </c>
      <c r="G485" s="143">
        <f>HLOOKUP("start",ESLData!H$1:H$9960,MATCH($A485,ESLData!$B$1:$B$9960,0))</f>
        <v>5253.57</v>
      </c>
      <c r="J485" s="156" t="s">
        <v>987</v>
      </c>
      <c r="K485" s="142" t="str">
        <f>IF(ISNA(HLOOKUP("start",ESLData!C$1:C$9960,MATCH($A485,ESLData!$B$1:$B$9960,0))),"",HLOOKUP("start",ESLData!C$1:C$9960,MATCH($A485,ESLData!$B$1:$B$9960,0)))</f>
        <v>Hamilton - Consumables</v>
      </c>
    </row>
    <row r="486" spans="1:11" ht="14.25" customHeight="1" x14ac:dyDescent="0.2">
      <c r="A486" s="144">
        <v>39010</v>
      </c>
      <c r="C486" s="143">
        <f>HLOOKUP("start",ESLData!E$1:E$9960,MATCH($A486,ESLData!$B$1:$B$9960,0))</f>
        <v>15.65</v>
      </c>
      <c r="E486" s="143">
        <f>HLOOKUP("start",ESLData!F$1:F$9960,MATCH($A486,ESLData!$B$1:$B$9960,0))</f>
        <v>0</v>
      </c>
      <c r="G486" s="143">
        <f>HLOOKUP("start",ESLData!H$1:H$9960,MATCH($A486,ESLData!$B$1:$B$9960,0))</f>
        <v>0</v>
      </c>
      <c r="J486" s="156" t="s">
        <v>987</v>
      </c>
      <c r="K486" s="142" t="str">
        <f>IF(ISNA(HLOOKUP("start",ESLData!C$1:C$9960,MATCH($A486,ESLData!$B$1:$B$9960,0))),"",HLOOKUP("start",ESLData!C$1:C$9960,MATCH($A486,ESLData!$B$1:$B$9960,0)))</f>
        <v>Hamilton - Publications</v>
      </c>
    </row>
    <row r="487" spans="1:11" ht="14.25" customHeight="1" x14ac:dyDescent="0.2">
      <c r="A487" s="144">
        <v>39011</v>
      </c>
      <c r="C487" s="143">
        <f>HLOOKUP("start",ESLData!E$1:E$9960,MATCH($A487,ESLData!$B$1:$B$9960,0))</f>
        <v>0</v>
      </c>
      <c r="E487" s="143">
        <f>HLOOKUP("start",ESLData!F$1:F$9960,MATCH($A487,ESLData!$B$1:$B$9960,0))</f>
        <v>0</v>
      </c>
      <c r="G487" s="143">
        <f>HLOOKUP("start",ESLData!H$1:H$9960,MATCH($A487,ESLData!$B$1:$B$9960,0))</f>
        <v>0</v>
      </c>
      <c r="J487" s="156" t="s">
        <v>987</v>
      </c>
      <c r="K487" s="142" t="str">
        <f>IF(ISNA(HLOOKUP("start",ESLData!C$1:C$9960,MATCH($A487,ESLData!$B$1:$B$9960,0))),"",HLOOKUP("start",ESLData!C$1:C$9960,MATCH($A487,ESLData!$B$1:$B$9960,0)))</f>
        <v>Hamilton - Subs/Membership Fees</v>
      </c>
    </row>
    <row r="488" spans="1:11" ht="14.25" customHeight="1" x14ac:dyDescent="0.2">
      <c r="A488" s="144">
        <v>39013</v>
      </c>
      <c r="C488" s="143">
        <f>HLOOKUP("start",ESLData!E$1:E$9960,MATCH($A488,ESLData!$B$1:$B$9960,0))</f>
        <v>657.19</v>
      </c>
      <c r="E488" s="143">
        <f>HLOOKUP("start",ESLData!F$1:F$9960,MATCH($A488,ESLData!$B$1:$B$9960,0))</f>
        <v>1200</v>
      </c>
      <c r="G488" s="143">
        <f>HLOOKUP("start",ESLData!H$1:H$9960,MATCH($A488,ESLData!$B$1:$B$9960,0))</f>
        <v>918.57</v>
      </c>
      <c r="J488" s="156" t="s">
        <v>987</v>
      </c>
      <c r="K488" s="142" t="str">
        <f>IF(ISNA(HLOOKUP("start",ESLData!C$1:C$9960,MATCH($A488,ESLData!$B$1:$B$9960,0))),"",HLOOKUP("start",ESLData!C$1:C$9960,MATCH($A488,ESLData!$B$1:$B$9960,0)))</f>
        <v>Hamilton - Educational Resources</v>
      </c>
    </row>
    <row r="489" spans="1:11" ht="14.25" customHeight="1" x14ac:dyDescent="0.2">
      <c r="A489" s="144">
        <v>39014</v>
      </c>
      <c r="C489" s="143">
        <f>HLOOKUP("start",ESLData!E$1:E$9960,MATCH($A489,ESLData!$B$1:$B$9960,0))</f>
        <v>89.84</v>
      </c>
      <c r="E489" s="143">
        <f>HLOOKUP("start",ESLData!F$1:F$9960,MATCH($A489,ESLData!$B$1:$B$9960,0))</f>
        <v>1000</v>
      </c>
      <c r="G489" s="143">
        <f>HLOOKUP("start",ESLData!H$1:H$9960,MATCH($A489,ESLData!$B$1:$B$9960,0))</f>
        <v>998.55</v>
      </c>
      <c r="J489" s="156" t="s">
        <v>987</v>
      </c>
      <c r="K489" s="142" t="str">
        <f>IF(ISNA(HLOOKUP("start",ESLData!C$1:C$9960,MATCH($A489,ESLData!$B$1:$B$9960,0))),"",HLOOKUP("start",ESLData!C$1:C$9960,MATCH($A489,ESLData!$B$1:$B$9960,0)))</f>
        <v>Hamilton - Resource Production Materials</v>
      </c>
    </row>
    <row r="490" spans="1:11" ht="14.25" customHeight="1" x14ac:dyDescent="0.2">
      <c r="A490" s="144">
        <v>39032</v>
      </c>
      <c r="C490" s="143">
        <f>HLOOKUP("start",ESLData!E$1:E$9960,MATCH($A490,ESLData!$B$1:$B$9960,0))</f>
        <v>3060.13</v>
      </c>
      <c r="E490" s="143">
        <f>HLOOKUP("start",ESLData!F$1:F$9960,MATCH($A490,ESLData!$B$1:$B$9960,0))</f>
        <v>5000</v>
      </c>
      <c r="G490" s="143">
        <f>HLOOKUP("start",ESLData!H$1:H$9960,MATCH($A490,ESLData!$B$1:$B$9960,0))</f>
        <v>4880.47</v>
      </c>
      <c r="J490" s="156" t="s">
        <v>987</v>
      </c>
      <c r="K490" s="142" t="str">
        <f>IF(ISNA(HLOOKUP("start",ESLData!C$1:C$9960,MATCH($A490,ESLData!$B$1:$B$9960,0))),"",HLOOKUP("start",ESLData!C$1:C$9960,MATCH($A490,ESLData!$B$1:$B$9960,0)))</f>
        <v>Staff Travel &amp; Accommodation</v>
      </c>
    </row>
    <row r="491" spans="1:11" ht="14.25" customHeight="1" x14ac:dyDescent="0.2">
      <c r="A491" s="144">
        <v>39034</v>
      </c>
      <c r="C491" s="143">
        <f>HLOOKUP("start",ESLData!E$1:E$9960,MATCH($A491,ESLData!$B$1:$B$9960,0))</f>
        <v>9496.42</v>
      </c>
      <c r="E491" s="143">
        <f>HLOOKUP("start",ESLData!F$1:F$9960,MATCH($A491,ESLData!$B$1:$B$9960,0))</f>
        <v>10000</v>
      </c>
      <c r="G491" s="143">
        <f>HLOOKUP("start",ESLData!H$1:H$9960,MATCH($A491,ESLData!$B$1:$B$9960,0))</f>
        <v>9463.8700000000008</v>
      </c>
      <c r="J491" s="156" t="s">
        <v>987</v>
      </c>
      <c r="K491" s="142" t="str">
        <f>IF(ISNA(HLOOKUP("start",ESLData!C$1:C$9960,MATCH($A491,ESLData!$B$1:$B$9960,0))),"",HLOOKUP("start",ESLData!C$1:C$9960,MATCH($A491,ESLData!$B$1:$B$9960,0)))</f>
        <v>Petrol</v>
      </c>
    </row>
    <row r="492" spans="1:11" ht="14.25" customHeight="1" x14ac:dyDescent="0.2">
      <c r="A492" s="144">
        <v>39052</v>
      </c>
      <c r="C492" s="143">
        <f>HLOOKUP("start",ESLData!E$1:E$9960,MATCH($A492,ESLData!$B$1:$B$9960,0))</f>
        <v>0</v>
      </c>
      <c r="E492" s="143">
        <f>HLOOKUP("start",ESLData!F$1:F$9960,MATCH($A492,ESLData!$B$1:$B$9960,0))</f>
        <v>0</v>
      </c>
      <c r="G492" s="143">
        <f>HLOOKUP("start",ESLData!H$1:H$9960,MATCH($A492,ESLData!$B$1:$B$9960,0))</f>
        <v>0</v>
      </c>
      <c r="J492" s="156" t="s">
        <v>987</v>
      </c>
      <c r="K492" s="142" t="str">
        <f>IF(ISNA(HLOOKUP("start",ESLData!C$1:C$9960,MATCH($A492,ESLData!$B$1:$B$9960,0))),"",HLOOKUP("start",ESLData!C$1:C$9960,MATCH($A492,ESLData!$B$1:$B$9960,0)))</f>
        <v>Telephone Rental/Tolls/Faxes</v>
      </c>
    </row>
    <row r="493" spans="1:11" ht="14.25" customHeight="1" x14ac:dyDescent="0.2">
      <c r="A493" s="144">
        <v>39057</v>
      </c>
      <c r="C493" s="143">
        <f>HLOOKUP("start",ESLData!E$1:E$9960,MATCH($A493,ESLData!$B$1:$B$9960,0))</f>
        <v>2616.5500000000002</v>
      </c>
      <c r="E493" s="143">
        <f>HLOOKUP("start",ESLData!F$1:F$9960,MATCH($A493,ESLData!$B$1:$B$9960,0))</f>
        <v>1500</v>
      </c>
      <c r="G493" s="143">
        <f>HLOOKUP("start",ESLData!H$1:H$9960,MATCH($A493,ESLData!$B$1:$B$9960,0))</f>
        <v>1627.71</v>
      </c>
      <c r="J493" s="156" t="s">
        <v>987</v>
      </c>
      <c r="K493" s="142" t="str">
        <f>IF(ISNA(HLOOKUP("start",ESLData!C$1:C$9960,MATCH($A493,ESLData!$B$1:$B$9960,0))),"",HLOOKUP("start",ESLData!C$1:C$9960,MATCH($A493,ESLData!$B$1:$B$9960,0)))</f>
        <v>Christchurch - Photocopying</v>
      </c>
    </row>
    <row r="494" spans="1:11" ht="14.25" customHeight="1" x14ac:dyDescent="0.2">
      <c r="A494" s="144">
        <v>39058</v>
      </c>
      <c r="C494" s="143">
        <f>HLOOKUP("start",ESLData!E$1:E$9960,MATCH($A494,ESLData!$B$1:$B$9960,0))</f>
        <v>1781.75</v>
      </c>
      <c r="E494" s="143">
        <f>HLOOKUP("start",ESLData!F$1:F$9960,MATCH($A494,ESLData!$B$1:$B$9960,0))</f>
        <v>2000</v>
      </c>
      <c r="G494" s="143">
        <f>HLOOKUP("start",ESLData!H$1:H$9960,MATCH($A494,ESLData!$B$1:$B$9960,0))</f>
        <v>2502.4499999999998</v>
      </c>
      <c r="J494" s="156" t="s">
        <v>987</v>
      </c>
      <c r="K494" s="142" t="str">
        <f>IF(ISNA(HLOOKUP("start",ESLData!C$1:C$9960,MATCH($A494,ESLData!$B$1:$B$9960,0))),"",HLOOKUP("start",ESLData!C$1:C$9960,MATCH($A494,ESLData!$B$1:$B$9960,0)))</f>
        <v>Christchurch - Printing/Stationery</v>
      </c>
    </row>
    <row r="495" spans="1:11" ht="14.25" customHeight="1" x14ac:dyDescent="0.2">
      <c r="A495" s="144">
        <v>39059</v>
      </c>
      <c r="C495" s="143">
        <f>HLOOKUP("start",ESLData!E$1:E$9960,MATCH($A495,ESLData!$B$1:$B$9960,0))</f>
        <v>5310.46</v>
      </c>
      <c r="E495" s="143">
        <f>HLOOKUP("start",ESLData!F$1:F$9960,MATCH($A495,ESLData!$B$1:$B$9960,0))</f>
        <v>4000</v>
      </c>
      <c r="G495" s="143">
        <f>HLOOKUP("start",ESLData!H$1:H$9960,MATCH($A495,ESLData!$B$1:$B$9960,0))</f>
        <v>4447.67</v>
      </c>
      <c r="J495" s="156" t="s">
        <v>987</v>
      </c>
      <c r="K495" s="142" t="str">
        <f>IF(ISNA(HLOOKUP("start",ESLData!C$1:C$9960,MATCH($A495,ESLData!$B$1:$B$9960,0))),"",HLOOKUP("start",ESLData!C$1:C$9960,MATCH($A495,ESLData!$B$1:$B$9960,0)))</f>
        <v>Christchurch - Consumables</v>
      </c>
    </row>
    <row r="496" spans="1:11" ht="14.25" customHeight="1" x14ac:dyDescent="0.2">
      <c r="A496" s="144">
        <v>39060</v>
      </c>
      <c r="C496" s="143">
        <f>HLOOKUP("start",ESLData!E$1:E$9960,MATCH($A496,ESLData!$B$1:$B$9960,0))</f>
        <v>279.49</v>
      </c>
      <c r="E496" s="143">
        <f>HLOOKUP("start",ESLData!F$1:F$9960,MATCH($A496,ESLData!$B$1:$B$9960,0))</f>
        <v>200</v>
      </c>
      <c r="G496" s="143">
        <f>HLOOKUP("start",ESLData!H$1:H$9960,MATCH($A496,ESLData!$B$1:$B$9960,0))</f>
        <v>206.52</v>
      </c>
      <c r="J496" s="156" t="s">
        <v>987</v>
      </c>
      <c r="K496" s="142" t="str">
        <f>IF(ISNA(HLOOKUP("start",ESLData!C$1:C$9960,MATCH($A496,ESLData!$B$1:$B$9960,0))),"",HLOOKUP("start",ESLData!C$1:C$9960,MATCH($A496,ESLData!$B$1:$B$9960,0)))</f>
        <v>Christchurch - Publications</v>
      </c>
    </row>
    <row r="497" spans="1:11" ht="14.25" customHeight="1" x14ac:dyDescent="0.2">
      <c r="A497" s="144">
        <v>39061</v>
      </c>
      <c r="C497" s="143">
        <f>HLOOKUP("start",ESLData!E$1:E$9960,MATCH($A497,ESLData!$B$1:$B$9960,0))</f>
        <v>0</v>
      </c>
      <c r="E497" s="143">
        <f>HLOOKUP("start",ESLData!F$1:F$9960,MATCH($A497,ESLData!$B$1:$B$9960,0))</f>
        <v>0</v>
      </c>
      <c r="G497" s="143">
        <f>HLOOKUP("start",ESLData!H$1:H$9960,MATCH($A497,ESLData!$B$1:$B$9960,0))</f>
        <v>0</v>
      </c>
      <c r="J497" s="156" t="s">
        <v>987</v>
      </c>
      <c r="K497" s="142" t="str">
        <f>IF(ISNA(HLOOKUP("start",ESLData!C$1:C$9960,MATCH($A497,ESLData!$B$1:$B$9960,0))),"",HLOOKUP("start",ESLData!C$1:C$9960,MATCH($A497,ESLData!$B$1:$B$9960,0)))</f>
        <v>Christchurch - Subs/Membership Fees</v>
      </c>
    </row>
    <row r="498" spans="1:11" ht="14.25" customHeight="1" x14ac:dyDescent="0.2">
      <c r="A498" s="144">
        <v>39062</v>
      </c>
      <c r="C498" s="143">
        <f>HLOOKUP("start",ESLData!E$1:E$9960,MATCH($A498,ESLData!$B$1:$B$9960,0))</f>
        <v>6662.22</v>
      </c>
      <c r="E498" s="143">
        <f>HLOOKUP("start",ESLData!F$1:F$9960,MATCH($A498,ESLData!$B$1:$B$9960,0))</f>
        <v>5500</v>
      </c>
      <c r="G498" s="143">
        <f>HLOOKUP("start",ESLData!H$1:H$9960,MATCH($A498,ESLData!$B$1:$B$9960,0))</f>
        <v>5918.89</v>
      </c>
      <c r="J498" s="156" t="s">
        <v>987</v>
      </c>
      <c r="K498" s="142" t="str">
        <f>IF(ISNA(HLOOKUP("start",ESLData!C$1:C$9960,MATCH($A498,ESLData!$B$1:$B$9960,0))),"",HLOOKUP("start",ESLData!C$1:C$9960,MATCH($A498,ESLData!$B$1:$B$9960,0)))</f>
        <v>Christchurch - Timaru operations</v>
      </c>
    </row>
    <row r="499" spans="1:11" ht="14.25" customHeight="1" x14ac:dyDescent="0.2">
      <c r="A499" s="144">
        <v>39063</v>
      </c>
      <c r="C499" s="143">
        <f>HLOOKUP("start",ESLData!E$1:E$9960,MATCH($A499,ESLData!$B$1:$B$9960,0))</f>
        <v>507.39</v>
      </c>
      <c r="E499" s="143">
        <f>HLOOKUP("start",ESLData!F$1:F$9960,MATCH($A499,ESLData!$B$1:$B$9960,0))</f>
        <v>750</v>
      </c>
      <c r="G499" s="143">
        <f>HLOOKUP("start",ESLData!H$1:H$9960,MATCH($A499,ESLData!$B$1:$B$9960,0))</f>
        <v>1428.89</v>
      </c>
      <c r="J499" s="156" t="s">
        <v>987</v>
      </c>
      <c r="K499" s="142" t="str">
        <f>IF(ISNA(HLOOKUP("start",ESLData!C$1:C$9960,MATCH($A499,ESLData!$B$1:$B$9960,0))),"",HLOOKUP("start",ESLData!C$1:C$9960,MATCH($A499,ESLData!$B$1:$B$9960,0)))</f>
        <v>Christchurch - West Coast Operations</v>
      </c>
    </row>
    <row r="500" spans="1:11" ht="14.25" customHeight="1" x14ac:dyDescent="0.2">
      <c r="A500" s="144">
        <v>39064</v>
      </c>
      <c r="C500" s="143">
        <f>HLOOKUP("start",ESLData!E$1:E$9960,MATCH($A500,ESLData!$B$1:$B$9960,0))</f>
        <v>116.48</v>
      </c>
      <c r="E500" s="143">
        <f>HLOOKUP("start",ESLData!F$1:F$9960,MATCH($A500,ESLData!$B$1:$B$9960,0))</f>
        <v>200</v>
      </c>
      <c r="G500" s="143">
        <f>HLOOKUP("start",ESLData!H$1:H$9960,MATCH($A500,ESLData!$B$1:$B$9960,0))</f>
        <v>151.83000000000001</v>
      </c>
      <c r="J500" s="156" t="s">
        <v>987</v>
      </c>
      <c r="K500" s="142" t="str">
        <f>IF(ISNA(HLOOKUP("start",ESLData!C$1:C$9960,MATCH($A500,ESLData!$B$1:$B$9960,0))),"",HLOOKUP("start",ESLData!C$1:C$9960,MATCH($A500,ESLData!$B$1:$B$9960,0)))</f>
        <v>Christchurch - DOM Expenses</v>
      </c>
    </row>
    <row r="501" spans="1:11" ht="14.25" customHeight="1" x14ac:dyDescent="0.2">
      <c r="A501" s="144">
        <v>39082</v>
      </c>
      <c r="C501" s="143">
        <f>HLOOKUP("start",ESLData!E$1:E$9960,MATCH($A501,ESLData!$B$1:$B$9960,0))</f>
        <v>8066.26</v>
      </c>
      <c r="E501" s="143">
        <f>HLOOKUP("start",ESLData!F$1:F$9960,MATCH($A501,ESLData!$B$1:$B$9960,0))</f>
        <v>5500</v>
      </c>
      <c r="G501" s="143">
        <f>HLOOKUP("start",ESLData!H$1:H$9960,MATCH($A501,ESLData!$B$1:$B$9960,0))</f>
        <v>5589.63</v>
      </c>
      <c r="J501" s="156" t="s">
        <v>987</v>
      </c>
      <c r="K501" s="142" t="str">
        <f>IF(ISNA(HLOOKUP("start",ESLData!C$1:C$9960,MATCH($A501,ESLData!$B$1:$B$9960,0))),"",HLOOKUP("start",ESLData!C$1:C$9960,MATCH($A501,ESLData!$B$1:$B$9960,0)))</f>
        <v>Staff Travel &amp; Accommodation</v>
      </c>
    </row>
    <row r="502" spans="1:11" ht="14.25" customHeight="1" x14ac:dyDescent="0.2">
      <c r="A502" s="144">
        <v>39084</v>
      </c>
      <c r="C502" s="143">
        <f>HLOOKUP("start",ESLData!E$1:E$9960,MATCH($A502,ESLData!$B$1:$B$9960,0))</f>
        <v>13250.02</v>
      </c>
      <c r="E502" s="143">
        <f>HLOOKUP("start",ESLData!F$1:F$9960,MATCH($A502,ESLData!$B$1:$B$9960,0))</f>
        <v>13000</v>
      </c>
      <c r="G502" s="143">
        <f>HLOOKUP("start",ESLData!H$1:H$9960,MATCH($A502,ESLData!$B$1:$B$9960,0))</f>
        <v>13320.46</v>
      </c>
      <c r="J502" s="156" t="s">
        <v>987</v>
      </c>
      <c r="K502" s="142" t="str">
        <f>IF(ISNA(HLOOKUP("start",ESLData!C$1:C$9960,MATCH($A502,ESLData!$B$1:$B$9960,0))),"",HLOOKUP("start",ESLData!C$1:C$9960,MATCH($A502,ESLData!$B$1:$B$9960,0)))</f>
        <v>Petrol</v>
      </c>
    </row>
    <row r="503" spans="1:11" ht="14.25" customHeight="1" x14ac:dyDescent="0.2">
      <c r="A503" s="144">
        <v>39102</v>
      </c>
      <c r="C503" s="143">
        <f>HLOOKUP("start",ESLData!E$1:E$9960,MATCH($A503,ESLData!$B$1:$B$9960,0))</f>
        <v>0</v>
      </c>
      <c r="E503" s="143">
        <f>HLOOKUP("start",ESLData!F$1:F$9960,MATCH($A503,ESLData!$B$1:$B$9960,0))</f>
        <v>0</v>
      </c>
      <c r="G503" s="143">
        <f>HLOOKUP("start",ESLData!H$1:H$9960,MATCH($A503,ESLData!$B$1:$B$9960,0))</f>
        <v>0</v>
      </c>
      <c r="J503" s="156" t="s">
        <v>987</v>
      </c>
      <c r="K503" s="142" t="str">
        <f>IF(ISNA(HLOOKUP("start",ESLData!C$1:C$9960,MATCH($A503,ESLData!$B$1:$B$9960,0))),"",HLOOKUP("start",ESLData!C$1:C$9960,MATCH($A503,ESLData!$B$1:$B$9960,0)))</f>
        <v>Telephone Rental/Tolls/Faxes</v>
      </c>
    </row>
    <row r="504" spans="1:11" ht="14.25" customHeight="1" x14ac:dyDescent="0.2">
      <c r="A504" s="144">
        <v>39104</v>
      </c>
      <c r="C504" s="143">
        <f>HLOOKUP("start",ESLData!E$1:E$9960,MATCH($A504,ESLData!$B$1:$B$9960,0))</f>
        <v>0</v>
      </c>
      <c r="E504" s="143">
        <f>HLOOKUP("start",ESLData!F$1:F$9960,MATCH($A504,ESLData!$B$1:$B$9960,0))</f>
        <v>0</v>
      </c>
      <c r="G504" s="143">
        <f>HLOOKUP("start",ESLData!H$1:H$9960,MATCH($A504,ESLData!$B$1:$B$9960,0))</f>
        <v>0</v>
      </c>
      <c r="J504" s="156" t="s">
        <v>987</v>
      </c>
      <c r="K504" s="142" t="str">
        <f>IF(ISNA(HLOOKUP("start",ESLData!C$1:C$9960,MATCH($A504,ESLData!$B$1:$B$9960,0))),"",HLOOKUP("start",ESLData!C$1:C$9960,MATCH($A504,ESLData!$B$1:$B$9960,0)))</f>
        <v>Vehicle Maintenance</v>
      </c>
    </row>
    <row r="505" spans="1:11" ht="14.25" customHeight="1" x14ac:dyDescent="0.2">
      <c r="A505" s="144">
        <v>39107</v>
      </c>
      <c r="C505" s="143">
        <f>HLOOKUP("start",ESLData!E$1:E$9960,MATCH($A505,ESLData!$B$1:$B$9960,0))</f>
        <v>136.66999999999999</v>
      </c>
      <c r="E505" s="143">
        <f>HLOOKUP("start",ESLData!F$1:F$9960,MATCH($A505,ESLData!$B$1:$B$9960,0))</f>
        <v>750</v>
      </c>
      <c r="G505" s="143">
        <f>HLOOKUP("start",ESLData!H$1:H$9960,MATCH($A505,ESLData!$B$1:$B$9960,0))</f>
        <v>519.94000000000005</v>
      </c>
      <c r="J505" s="156" t="s">
        <v>987</v>
      </c>
      <c r="K505" s="142" t="str">
        <f>IF(ISNA(HLOOKUP("start",ESLData!C$1:C$9960,MATCH($A505,ESLData!$B$1:$B$9960,0))),"",HLOOKUP("start",ESLData!C$1:C$9960,MATCH($A505,ESLData!$B$1:$B$9960,0)))</f>
        <v>Gisborne - Photocopying</v>
      </c>
    </row>
    <row r="506" spans="1:11" ht="14.25" customHeight="1" x14ac:dyDescent="0.2">
      <c r="A506" s="144">
        <v>39108</v>
      </c>
      <c r="C506" s="143">
        <f>HLOOKUP("start",ESLData!E$1:E$9960,MATCH($A506,ESLData!$B$1:$B$9960,0))</f>
        <v>398.41</v>
      </c>
      <c r="E506" s="143">
        <f>HLOOKUP("start",ESLData!F$1:F$9960,MATCH($A506,ESLData!$B$1:$B$9960,0))</f>
        <v>750</v>
      </c>
      <c r="G506" s="143">
        <f>HLOOKUP("start",ESLData!H$1:H$9960,MATCH($A506,ESLData!$B$1:$B$9960,0))</f>
        <v>851.89</v>
      </c>
      <c r="J506" s="156" t="s">
        <v>987</v>
      </c>
      <c r="K506" s="142" t="str">
        <f>IF(ISNA(HLOOKUP("start",ESLData!C$1:C$9960,MATCH($A506,ESLData!$B$1:$B$9960,0))),"",HLOOKUP("start",ESLData!C$1:C$9960,MATCH($A506,ESLData!$B$1:$B$9960,0)))</f>
        <v>Gisborne - Printing/Stationery</v>
      </c>
    </row>
    <row r="507" spans="1:11" ht="14.25" customHeight="1" x14ac:dyDescent="0.2">
      <c r="A507" s="144">
        <v>39109</v>
      </c>
      <c r="C507" s="143">
        <f>HLOOKUP("start",ESLData!E$1:E$9960,MATCH($A507,ESLData!$B$1:$B$9960,0))</f>
        <v>2278.48</v>
      </c>
      <c r="E507" s="143">
        <f>HLOOKUP("start",ESLData!F$1:F$9960,MATCH($A507,ESLData!$B$1:$B$9960,0))</f>
        <v>4500</v>
      </c>
      <c r="G507" s="143">
        <f>HLOOKUP("start",ESLData!H$1:H$9960,MATCH($A507,ESLData!$B$1:$B$9960,0))</f>
        <v>5569.52</v>
      </c>
      <c r="J507" s="156" t="s">
        <v>987</v>
      </c>
      <c r="K507" s="142" t="str">
        <f>IF(ISNA(HLOOKUP("start",ESLData!C$1:C$9960,MATCH($A507,ESLData!$B$1:$B$9960,0))),"",HLOOKUP("start",ESLData!C$1:C$9960,MATCH($A507,ESLData!$B$1:$B$9960,0)))</f>
        <v>Gisborne - Consumables</v>
      </c>
    </row>
    <row r="508" spans="1:11" ht="14.25" customHeight="1" x14ac:dyDescent="0.2">
      <c r="A508" s="144">
        <v>39110</v>
      </c>
      <c r="C508" s="143">
        <f>HLOOKUP("start",ESLData!E$1:E$9960,MATCH($A508,ESLData!$B$1:$B$9960,0))</f>
        <v>236.86</v>
      </c>
      <c r="E508" s="143">
        <f>HLOOKUP("start",ESLData!F$1:F$9960,MATCH($A508,ESLData!$B$1:$B$9960,0))</f>
        <v>200</v>
      </c>
      <c r="G508" s="143">
        <f>HLOOKUP("start",ESLData!H$1:H$9960,MATCH($A508,ESLData!$B$1:$B$9960,0))</f>
        <v>135.63999999999999</v>
      </c>
      <c r="J508" s="156" t="s">
        <v>987</v>
      </c>
      <c r="K508" s="142" t="str">
        <f>IF(ISNA(HLOOKUP("start",ESLData!C$1:C$9960,MATCH($A508,ESLData!$B$1:$B$9960,0))),"",HLOOKUP("start",ESLData!C$1:C$9960,MATCH($A508,ESLData!$B$1:$B$9960,0)))</f>
        <v>Gisborne - Publications</v>
      </c>
    </row>
    <row r="509" spans="1:11" ht="14.25" customHeight="1" x14ac:dyDescent="0.2">
      <c r="A509" s="144">
        <v>39111</v>
      </c>
      <c r="C509" s="143">
        <f>HLOOKUP("start",ESLData!E$1:E$9960,MATCH($A509,ESLData!$B$1:$B$9960,0))</f>
        <v>0</v>
      </c>
      <c r="E509" s="143">
        <f>HLOOKUP("start",ESLData!F$1:F$9960,MATCH($A509,ESLData!$B$1:$B$9960,0))</f>
        <v>0</v>
      </c>
      <c r="G509" s="143">
        <f>HLOOKUP("start",ESLData!H$1:H$9960,MATCH($A509,ESLData!$B$1:$B$9960,0))</f>
        <v>0</v>
      </c>
      <c r="J509" s="156" t="s">
        <v>987</v>
      </c>
      <c r="K509" s="142" t="str">
        <f>IF(ISNA(HLOOKUP("start",ESLData!C$1:C$9960,MATCH($A509,ESLData!$B$1:$B$9960,0))),"",HLOOKUP("start",ESLData!C$1:C$9960,MATCH($A509,ESLData!$B$1:$B$9960,0)))</f>
        <v>Gisborne - Subs/Membership Fees</v>
      </c>
    </row>
    <row r="510" spans="1:11" ht="14.25" customHeight="1" x14ac:dyDescent="0.2">
      <c r="A510" s="144">
        <v>39112</v>
      </c>
      <c r="C510" s="143">
        <f>HLOOKUP("start",ESLData!E$1:E$9960,MATCH($A510,ESLData!$B$1:$B$9960,0))</f>
        <v>644.11</v>
      </c>
      <c r="E510" s="143">
        <f>HLOOKUP("start",ESLData!F$1:F$9960,MATCH($A510,ESLData!$B$1:$B$9960,0))</f>
        <v>500</v>
      </c>
      <c r="G510" s="143">
        <f>HLOOKUP("start",ESLData!H$1:H$9960,MATCH($A510,ESLData!$B$1:$B$9960,0))</f>
        <v>484.08</v>
      </c>
      <c r="J510" s="156" t="s">
        <v>987</v>
      </c>
      <c r="K510" s="142" t="str">
        <f>IF(ISNA(HLOOKUP("start",ESLData!C$1:C$9960,MATCH($A510,ESLData!$B$1:$B$9960,0))),"",HLOOKUP("start",ESLData!C$1:C$9960,MATCH($A510,ESLData!$B$1:$B$9960,0)))</f>
        <v>Gisborne - Educational Resources</v>
      </c>
    </row>
    <row r="511" spans="1:11" ht="14.25" customHeight="1" x14ac:dyDescent="0.2">
      <c r="A511" s="144">
        <v>39115</v>
      </c>
      <c r="C511" s="143">
        <f>HLOOKUP("start",ESLData!E$1:E$9960,MATCH($A511,ESLData!$B$1:$B$9960,0))</f>
        <v>8.61</v>
      </c>
      <c r="E511" s="143">
        <f>HLOOKUP("start",ESLData!F$1:F$9960,MATCH($A511,ESLData!$B$1:$B$9960,0))</f>
        <v>200</v>
      </c>
      <c r="G511" s="143">
        <f>HLOOKUP("start",ESLData!H$1:H$9960,MATCH($A511,ESLData!$B$1:$B$9960,0))</f>
        <v>78.260000000000005</v>
      </c>
      <c r="J511" s="156" t="s">
        <v>987</v>
      </c>
      <c r="K511" s="142" t="str">
        <f>IF(ISNA(HLOOKUP("start",ESLData!C$1:C$9960,MATCH($A511,ESLData!$B$1:$B$9960,0))),"",HLOOKUP("start",ESLData!C$1:C$9960,MATCH($A511,ESLData!$B$1:$B$9960,0)))</f>
        <v>Gisborne - DOM Expenses</v>
      </c>
    </row>
    <row r="512" spans="1:11" ht="14.25" customHeight="1" x14ac:dyDescent="0.2">
      <c r="A512" s="144">
        <v>39132</v>
      </c>
      <c r="C512" s="143">
        <f>HLOOKUP("start",ESLData!E$1:E$9960,MATCH($A512,ESLData!$B$1:$B$9960,0))</f>
        <v>1677.75</v>
      </c>
      <c r="E512" s="143">
        <f>HLOOKUP("start",ESLData!F$1:F$9960,MATCH($A512,ESLData!$B$1:$B$9960,0))</f>
        <v>4000</v>
      </c>
      <c r="G512" s="143">
        <f>HLOOKUP("start",ESLData!H$1:H$9960,MATCH($A512,ESLData!$B$1:$B$9960,0))</f>
        <v>5002.3900000000003</v>
      </c>
      <c r="J512" s="156" t="s">
        <v>987</v>
      </c>
      <c r="K512" s="142" t="str">
        <f>IF(ISNA(HLOOKUP("start",ESLData!C$1:C$9960,MATCH($A512,ESLData!$B$1:$B$9960,0))),"",HLOOKUP("start",ESLData!C$1:C$9960,MATCH($A512,ESLData!$B$1:$B$9960,0)))</f>
        <v>Staff Travel &amp; Accommodation</v>
      </c>
    </row>
    <row r="513" spans="1:11" ht="14.25" customHeight="1" x14ac:dyDescent="0.2">
      <c r="A513" s="144">
        <v>39134</v>
      </c>
      <c r="C513" s="143">
        <f>HLOOKUP("start",ESLData!E$1:E$9960,MATCH($A513,ESLData!$B$1:$B$9960,0))</f>
        <v>967.71</v>
      </c>
      <c r="E513" s="143">
        <f>HLOOKUP("start",ESLData!F$1:F$9960,MATCH($A513,ESLData!$B$1:$B$9960,0))</f>
        <v>2200</v>
      </c>
      <c r="G513" s="143">
        <f>HLOOKUP("start",ESLData!H$1:H$9960,MATCH($A513,ESLData!$B$1:$B$9960,0))</f>
        <v>1123.78</v>
      </c>
      <c r="I513" s="146"/>
      <c r="J513" s="156" t="s">
        <v>987</v>
      </c>
      <c r="K513" s="142" t="str">
        <f>IF(ISNA(HLOOKUP("start",ESLData!C$1:C$9960,MATCH($A513,ESLData!$B$1:$B$9960,0))),"",HLOOKUP("start",ESLData!C$1:C$9960,MATCH($A513,ESLData!$B$1:$B$9960,0)))</f>
        <v>Petrol</v>
      </c>
    </row>
    <row r="514" spans="1:11" ht="14.25" customHeight="1" x14ac:dyDescent="0.2">
      <c r="A514" s="144">
        <v>39151</v>
      </c>
      <c r="C514" s="143">
        <f>HLOOKUP("start",ESLData!E$1:E$9960,MATCH($A514,ESLData!$B$1:$B$9960,0))</f>
        <v>894.23</v>
      </c>
      <c r="E514" s="143">
        <f>HLOOKUP("start",ESLData!F$1:F$9960,MATCH($A514,ESLData!$B$1:$B$9960,0))</f>
        <v>850</v>
      </c>
      <c r="G514" s="143">
        <f>HLOOKUP("start",ESLData!H$1:H$9960,MATCH($A514,ESLData!$B$1:$B$9960,0))</f>
        <v>739.76</v>
      </c>
      <c r="J514" s="156" t="s">
        <v>987</v>
      </c>
      <c r="K514" s="142" t="str">
        <f>IF(ISNA(HLOOKUP("start",ESLData!C$1:C$9960,MATCH($A514,ESLData!$B$1:$B$9960,0))),"",HLOOKUP("start",ESLData!C$1:C$9960,MATCH($A514,ESLData!$B$1:$B$9960,0)))</f>
        <v>Wellington - Postage</v>
      </c>
    </row>
    <row r="515" spans="1:11" ht="14.25" customHeight="1" x14ac:dyDescent="0.2">
      <c r="A515" s="144">
        <v>39152</v>
      </c>
      <c r="C515" s="143">
        <f>HLOOKUP("start",ESLData!E$1:E$9960,MATCH($A515,ESLData!$B$1:$B$9960,0))</f>
        <v>0</v>
      </c>
      <c r="E515" s="143">
        <f>HLOOKUP("start",ESLData!F$1:F$9960,MATCH($A515,ESLData!$B$1:$B$9960,0))</f>
        <v>0</v>
      </c>
      <c r="G515" s="143">
        <f>HLOOKUP("start",ESLData!H$1:H$9960,MATCH($A515,ESLData!$B$1:$B$9960,0))</f>
        <v>0</v>
      </c>
      <c r="J515" s="156" t="s">
        <v>987</v>
      </c>
      <c r="K515" s="142" t="str">
        <f>IF(ISNA(HLOOKUP("start",ESLData!C$1:C$9960,MATCH($A515,ESLData!$B$1:$B$9960,0))),"",HLOOKUP("start",ESLData!C$1:C$9960,MATCH($A515,ESLData!$B$1:$B$9960,0)))</f>
        <v>Telephone Rental/Tolls/Faxes</v>
      </c>
    </row>
    <row r="516" spans="1:11" ht="14.25" customHeight="1" x14ac:dyDescent="0.2">
      <c r="A516" s="144">
        <v>39157</v>
      </c>
      <c r="C516" s="143">
        <f>HLOOKUP("start",ESLData!E$1:E$9960,MATCH($A516,ESLData!$B$1:$B$9960,0))</f>
        <v>1444.15</v>
      </c>
      <c r="E516" s="143">
        <f>HLOOKUP("start",ESLData!F$1:F$9960,MATCH($A516,ESLData!$B$1:$B$9960,0))</f>
        <v>1000</v>
      </c>
      <c r="G516" s="143">
        <f>HLOOKUP("start",ESLData!H$1:H$9960,MATCH($A516,ESLData!$B$1:$B$9960,0))</f>
        <v>1204.97</v>
      </c>
      <c r="I516" s="152" t="s">
        <v>985</v>
      </c>
      <c r="K516" s="142" t="str">
        <f>IF(ISNA(HLOOKUP("start",ESLData!C$1:C$9960,MATCH($A516,ESLData!$B$1:$B$9960,0))),"",HLOOKUP("start",ESLData!C$1:C$9960,MATCH($A516,ESLData!$B$1:$B$9960,0)))</f>
        <v>Wellington - Photocopying</v>
      </c>
    </row>
    <row r="517" spans="1:11" ht="14.25" customHeight="1" x14ac:dyDescent="0.2">
      <c r="A517" s="144">
        <v>39158</v>
      </c>
      <c r="C517" s="143">
        <f>HLOOKUP("start",ESLData!E$1:E$9960,MATCH($A517,ESLData!$B$1:$B$9960,0))</f>
        <v>1006.27</v>
      </c>
      <c r="E517" s="143">
        <f>HLOOKUP("start",ESLData!F$1:F$9960,MATCH($A517,ESLData!$B$1:$B$9960,0))</f>
        <v>750</v>
      </c>
      <c r="G517" s="143">
        <f>HLOOKUP("start",ESLData!H$1:H$9960,MATCH($A517,ESLData!$B$1:$B$9960,0))</f>
        <v>116.01</v>
      </c>
      <c r="J517" s="156" t="s">
        <v>987</v>
      </c>
      <c r="K517" s="142" t="str">
        <f>IF(ISNA(HLOOKUP("start",ESLData!C$1:C$9960,MATCH($A517,ESLData!$B$1:$B$9960,0))),"",HLOOKUP("start",ESLData!C$1:C$9960,MATCH($A517,ESLData!$B$1:$B$9960,0)))</f>
        <v>Wellington - Printing/Stationery</v>
      </c>
    </row>
    <row r="518" spans="1:11" ht="14.25" customHeight="1" x14ac:dyDescent="0.2">
      <c r="A518" s="144">
        <v>39159</v>
      </c>
      <c r="C518" s="143">
        <f>HLOOKUP("start",ESLData!E$1:E$9960,MATCH($A518,ESLData!$B$1:$B$9960,0))</f>
        <v>2827.33</v>
      </c>
      <c r="E518" s="143">
        <f>HLOOKUP("start",ESLData!F$1:F$9960,MATCH($A518,ESLData!$B$1:$B$9960,0))</f>
        <v>4000</v>
      </c>
      <c r="G518" s="143">
        <f>HLOOKUP("start",ESLData!H$1:H$9960,MATCH($A518,ESLData!$B$1:$B$9960,0))</f>
        <v>4092.25</v>
      </c>
      <c r="J518" s="156" t="s">
        <v>987</v>
      </c>
      <c r="K518" s="142" t="str">
        <f>IF(ISNA(HLOOKUP("start",ESLData!C$1:C$9960,MATCH($A518,ESLData!$B$1:$B$9960,0))),"",HLOOKUP("start",ESLData!C$1:C$9960,MATCH($A518,ESLData!$B$1:$B$9960,0)))</f>
        <v>Wellington - Consumables</v>
      </c>
    </row>
    <row r="519" spans="1:11" ht="14.25" customHeight="1" x14ac:dyDescent="0.2">
      <c r="A519" s="144">
        <v>39160</v>
      </c>
      <c r="C519" s="143">
        <f>HLOOKUP("start",ESLData!E$1:E$9960,MATCH($A519,ESLData!$B$1:$B$9960,0))</f>
        <v>149.91999999999999</v>
      </c>
      <c r="E519" s="143">
        <f>HLOOKUP("start",ESLData!F$1:F$9960,MATCH($A519,ESLData!$B$1:$B$9960,0))</f>
        <v>200</v>
      </c>
      <c r="G519" s="143">
        <f>HLOOKUP("start",ESLData!H$1:H$9960,MATCH($A519,ESLData!$B$1:$B$9960,0))</f>
        <v>222.67</v>
      </c>
      <c r="J519" s="156" t="s">
        <v>987</v>
      </c>
      <c r="K519" s="142" t="str">
        <f>IF(ISNA(HLOOKUP("start",ESLData!C$1:C$9960,MATCH($A519,ESLData!$B$1:$B$9960,0))),"",HLOOKUP("start",ESLData!C$1:C$9960,MATCH($A519,ESLData!$B$1:$B$9960,0)))</f>
        <v>Wellington - Publications</v>
      </c>
    </row>
    <row r="520" spans="1:11" ht="14.25" customHeight="1" x14ac:dyDescent="0.2">
      <c r="A520" s="144">
        <v>39161</v>
      </c>
      <c r="C520" s="143">
        <f>HLOOKUP("start",ESLData!E$1:E$9960,MATCH($A520,ESLData!$B$1:$B$9960,0))</f>
        <v>0</v>
      </c>
      <c r="E520" s="143">
        <f>HLOOKUP("start",ESLData!F$1:F$9960,MATCH($A520,ESLData!$B$1:$B$9960,0))</f>
        <v>0</v>
      </c>
      <c r="G520" s="143">
        <f>HLOOKUP("start",ESLData!H$1:H$9960,MATCH($A520,ESLData!$B$1:$B$9960,0))</f>
        <v>0</v>
      </c>
      <c r="J520" s="156" t="s">
        <v>987</v>
      </c>
      <c r="K520" s="142" t="str">
        <f>IF(ISNA(HLOOKUP("start",ESLData!C$1:C$9960,MATCH($A520,ESLData!$B$1:$B$9960,0))),"",HLOOKUP("start",ESLData!C$1:C$9960,MATCH($A520,ESLData!$B$1:$B$9960,0)))</f>
        <v>Wellington - Subs/Membership Fees</v>
      </c>
    </row>
    <row r="521" spans="1:11" ht="14.25" customHeight="1" x14ac:dyDescent="0.2">
      <c r="A521" s="144">
        <v>39163</v>
      </c>
      <c r="C521" s="143">
        <f>HLOOKUP("start",ESLData!E$1:E$9960,MATCH($A521,ESLData!$B$1:$B$9960,0))</f>
        <v>283.14</v>
      </c>
      <c r="E521" s="143">
        <f>HLOOKUP("start",ESLData!F$1:F$9960,MATCH($A521,ESLData!$B$1:$B$9960,0))</f>
        <v>1000</v>
      </c>
      <c r="G521" s="143">
        <f>HLOOKUP("start",ESLData!H$1:H$9960,MATCH($A521,ESLData!$B$1:$B$9960,0))</f>
        <v>925.76</v>
      </c>
      <c r="J521" s="156" t="s">
        <v>987</v>
      </c>
      <c r="K521" s="142" t="str">
        <f>IF(ISNA(HLOOKUP("start",ESLData!C$1:C$9960,MATCH($A521,ESLData!$B$1:$B$9960,0))),"",HLOOKUP("start",ESLData!C$1:C$9960,MATCH($A521,ESLData!$B$1:$B$9960,0)))</f>
        <v>Wellington - Resource Production</v>
      </c>
    </row>
    <row r="522" spans="1:11" ht="14.25" customHeight="1" x14ac:dyDescent="0.2">
      <c r="A522" s="144">
        <v>39164</v>
      </c>
      <c r="C522" s="143">
        <f>HLOOKUP("start",ESLData!E$1:E$9960,MATCH($A522,ESLData!$B$1:$B$9960,0))</f>
        <v>1967.85</v>
      </c>
      <c r="E522" s="143">
        <f>HLOOKUP("start",ESLData!F$1:F$9960,MATCH($A522,ESLData!$B$1:$B$9960,0))</f>
        <v>1500</v>
      </c>
      <c r="G522" s="143">
        <f>HLOOKUP("start",ESLData!H$1:H$9960,MATCH($A522,ESLData!$B$1:$B$9960,0))</f>
        <v>1163.5999999999999</v>
      </c>
      <c r="J522" s="156" t="s">
        <v>987</v>
      </c>
      <c r="K522" s="142" t="str">
        <f>IF(ISNA(HLOOKUP("start",ESLData!C$1:C$9960,MATCH($A522,ESLData!$B$1:$B$9960,0))),"",HLOOKUP("start",ESLData!C$1:C$9960,MATCH($A522,ESLData!$B$1:$B$9960,0)))</f>
        <v>Wellington - Education Resources</v>
      </c>
    </row>
    <row r="523" spans="1:11" ht="14.25" customHeight="1" x14ac:dyDescent="0.2">
      <c r="A523" s="144">
        <v>39165</v>
      </c>
      <c r="C523" s="143">
        <f>HLOOKUP("start",ESLData!E$1:E$9960,MATCH($A523,ESLData!$B$1:$B$9960,0))</f>
        <v>46.09</v>
      </c>
      <c r="E523" s="143">
        <f>HLOOKUP("start",ESLData!F$1:F$9960,MATCH($A523,ESLData!$B$1:$B$9960,0))</f>
        <v>200</v>
      </c>
      <c r="G523" s="143">
        <f>HLOOKUP("start",ESLData!H$1:H$9960,MATCH($A523,ESLData!$B$1:$B$9960,0))</f>
        <v>70</v>
      </c>
      <c r="I523" s="146"/>
      <c r="J523" s="156" t="s">
        <v>987</v>
      </c>
      <c r="K523" s="142" t="str">
        <f>IF(ISNA(HLOOKUP("start",ESLData!C$1:C$9960,MATCH($A523,ESLData!$B$1:$B$9960,0))),"",HLOOKUP("start",ESLData!C$1:C$9960,MATCH($A523,ESLData!$B$1:$B$9960,0)))</f>
        <v>Wellington - Curriculum Days</v>
      </c>
    </row>
    <row r="524" spans="1:11" ht="14.25" customHeight="1" x14ac:dyDescent="0.2">
      <c r="A524" s="144">
        <v>39169</v>
      </c>
      <c r="C524" s="143">
        <f>HLOOKUP("start",ESLData!E$1:E$9960,MATCH($A524,ESLData!$B$1:$B$9960,0))</f>
        <v>122.61</v>
      </c>
      <c r="E524" s="143">
        <f>HLOOKUP("start",ESLData!F$1:F$9960,MATCH($A524,ESLData!$B$1:$B$9960,0))</f>
        <v>200</v>
      </c>
      <c r="G524" s="143">
        <f>HLOOKUP("start",ESLData!H$1:H$9960,MATCH($A524,ESLData!$B$1:$B$9960,0))</f>
        <v>17.45</v>
      </c>
      <c r="J524" s="156" t="s">
        <v>987</v>
      </c>
      <c r="K524" s="142" t="str">
        <f>IF(ISNA(HLOOKUP("start",ESLData!C$1:C$9960,MATCH($A524,ESLData!$B$1:$B$9960,0))),"",HLOOKUP("start",ESLData!C$1:C$9960,MATCH($A524,ESLData!$B$1:$B$9960,0)))</f>
        <v>Wellington - DOM Expenses</v>
      </c>
    </row>
    <row r="525" spans="1:11" ht="14.25" customHeight="1" x14ac:dyDescent="0.2">
      <c r="A525" s="144">
        <v>39182</v>
      </c>
      <c r="C525" s="143">
        <f>HLOOKUP("start",ESLData!E$1:E$9960,MATCH($A525,ESLData!$B$1:$B$9960,0))</f>
        <v>3942.79</v>
      </c>
      <c r="E525" s="143">
        <f>HLOOKUP("start",ESLData!F$1:F$9960,MATCH($A525,ESLData!$B$1:$B$9960,0))</f>
        <v>3500</v>
      </c>
      <c r="G525" s="143">
        <f>HLOOKUP("start",ESLData!H$1:H$9960,MATCH($A525,ESLData!$B$1:$B$9960,0))</f>
        <v>4071.99</v>
      </c>
      <c r="J525" s="156" t="s">
        <v>987</v>
      </c>
      <c r="K525" s="142" t="str">
        <f>IF(ISNA(HLOOKUP("start",ESLData!C$1:C$9960,MATCH($A525,ESLData!$B$1:$B$9960,0))),"",HLOOKUP("start",ESLData!C$1:C$9960,MATCH($A525,ESLData!$B$1:$B$9960,0)))</f>
        <v>Staff Travel &amp; Accommodation</v>
      </c>
    </row>
    <row r="526" spans="1:11" ht="14.25" customHeight="1" x14ac:dyDescent="0.2">
      <c r="A526" s="144">
        <v>39184</v>
      </c>
      <c r="C526" s="143">
        <f>HLOOKUP("start",ESLData!E$1:E$9960,MATCH($A526,ESLData!$B$1:$B$9960,0))</f>
        <v>6606.84</v>
      </c>
      <c r="E526" s="143">
        <f>HLOOKUP("start",ESLData!F$1:F$9960,MATCH($A526,ESLData!$B$1:$B$9960,0))</f>
        <v>6500</v>
      </c>
      <c r="G526" s="143">
        <f>HLOOKUP("start",ESLData!H$1:H$9960,MATCH($A526,ESLData!$B$1:$B$9960,0))</f>
        <v>6154.71</v>
      </c>
      <c r="J526" s="156" t="s">
        <v>987</v>
      </c>
      <c r="K526" s="142" t="str">
        <f>IF(ISNA(HLOOKUP("start",ESLData!C$1:C$9960,MATCH($A526,ESLData!$B$1:$B$9960,0))),"",HLOOKUP("start",ESLData!C$1:C$9960,MATCH($A526,ESLData!$B$1:$B$9960,0)))</f>
        <v>Petrol</v>
      </c>
    </row>
    <row r="527" spans="1:11" ht="14.25" customHeight="1" x14ac:dyDescent="0.2">
      <c r="A527" s="144">
        <v>39202</v>
      </c>
      <c r="C527" s="143">
        <f>HLOOKUP("start",ESLData!E$1:E$9960,MATCH($A527,ESLData!$B$1:$B$9960,0))</f>
        <v>0</v>
      </c>
      <c r="E527" s="143">
        <f>HLOOKUP("start",ESLData!F$1:F$9960,MATCH($A527,ESLData!$B$1:$B$9960,0))</f>
        <v>0</v>
      </c>
      <c r="G527" s="143">
        <f>HLOOKUP("start",ESLData!H$1:H$9960,MATCH($A527,ESLData!$B$1:$B$9960,0))</f>
        <v>0</v>
      </c>
      <c r="J527" s="156" t="s">
        <v>987</v>
      </c>
      <c r="K527" s="142" t="str">
        <f>IF(ISNA(HLOOKUP("start",ESLData!C$1:C$9960,MATCH($A527,ESLData!$B$1:$B$9960,0))),"",HLOOKUP("start",ESLData!C$1:C$9960,MATCH($A527,ESLData!$B$1:$B$9960,0)))</f>
        <v>Telephone Rental/Tolls/Faxes</v>
      </c>
    </row>
    <row r="528" spans="1:11" ht="14.25" customHeight="1" x14ac:dyDescent="0.2">
      <c r="A528" s="144">
        <v>39203</v>
      </c>
      <c r="C528" s="143">
        <f>HLOOKUP("start",ESLData!E$1:E$9960,MATCH($A528,ESLData!$B$1:$B$9960,0))</f>
        <v>0</v>
      </c>
      <c r="E528" s="143">
        <f>HLOOKUP("start",ESLData!F$1:F$9960,MATCH($A528,ESLData!$B$1:$B$9960,0))</f>
        <v>0</v>
      </c>
      <c r="G528" s="143">
        <f>HLOOKUP("start",ESLData!H$1:H$9960,MATCH($A528,ESLData!$B$1:$B$9960,0))</f>
        <v>0</v>
      </c>
      <c r="J528" s="156" t="s">
        <v>987</v>
      </c>
      <c r="K528" s="142" t="str">
        <f>IF(ISNA(HLOOKUP("start",ESLData!C$1:C$9960,MATCH($A528,ESLData!$B$1:$B$9960,0))),"",HLOOKUP("start",ESLData!C$1:C$9960,MATCH($A528,ESLData!$B$1:$B$9960,0)))</f>
        <v>Napier - Vehicle Insurance</v>
      </c>
    </row>
    <row r="529" spans="1:11" ht="14.25" customHeight="1" x14ac:dyDescent="0.2">
      <c r="A529" s="144">
        <v>39204</v>
      </c>
      <c r="C529" s="143">
        <f>HLOOKUP("start",ESLData!E$1:E$9960,MATCH($A529,ESLData!$B$1:$B$9960,0))</f>
        <v>0</v>
      </c>
      <c r="E529" s="143">
        <f>HLOOKUP("start",ESLData!F$1:F$9960,MATCH($A529,ESLData!$B$1:$B$9960,0))</f>
        <v>0</v>
      </c>
      <c r="G529" s="143">
        <f>HLOOKUP("start",ESLData!H$1:H$9960,MATCH($A529,ESLData!$B$1:$B$9960,0))</f>
        <v>0</v>
      </c>
      <c r="J529" s="156" t="s">
        <v>987</v>
      </c>
      <c r="K529" s="142" t="str">
        <f>IF(ISNA(HLOOKUP("start",ESLData!C$1:C$9960,MATCH($A529,ESLData!$B$1:$B$9960,0))),"",HLOOKUP("start",ESLData!C$1:C$9960,MATCH($A529,ESLData!$B$1:$B$9960,0)))</f>
        <v>Vehicle Maintenance</v>
      </c>
    </row>
    <row r="530" spans="1:11" ht="14.25" customHeight="1" x14ac:dyDescent="0.2">
      <c r="A530" s="144">
        <v>39207</v>
      </c>
      <c r="C530" s="143">
        <f>HLOOKUP("start",ESLData!E$1:E$9960,MATCH($A530,ESLData!$B$1:$B$9960,0))</f>
        <v>434.69</v>
      </c>
      <c r="E530" s="143">
        <f>HLOOKUP("start",ESLData!F$1:F$9960,MATCH($A530,ESLData!$B$1:$B$9960,0))</f>
        <v>450</v>
      </c>
      <c r="G530" s="143">
        <f>HLOOKUP("start",ESLData!H$1:H$9960,MATCH($A530,ESLData!$B$1:$B$9960,0))</f>
        <v>472.14</v>
      </c>
      <c r="I530" s="146"/>
      <c r="J530" s="156" t="s">
        <v>987</v>
      </c>
      <c r="K530" s="142" t="str">
        <f>IF(ISNA(HLOOKUP("start",ESLData!C$1:C$9960,MATCH($A530,ESLData!$B$1:$B$9960,0))),"",HLOOKUP("start",ESLData!C$1:C$9960,MATCH($A530,ESLData!$B$1:$B$9960,0)))</f>
        <v>Napier - Photocopying</v>
      </c>
    </row>
    <row r="531" spans="1:11" ht="14.25" customHeight="1" x14ac:dyDescent="0.2">
      <c r="A531" s="144">
        <v>39208</v>
      </c>
      <c r="C531" s="143">
        <f>HLOOKUP("start",ESLData!E$1:E$9960,MATCH($A531,ESLData!$B$1:$B$9960,0))</f>
        <v>403.36</v>
      </c>
      <c r="E531" s="143">
        <f>HLOOKUP("start",ESLData!F$1:F$9960,MATCH($A531,ESLData!$B$1:$B$9960,0))</f>
        <v>1500</v>
      </c>
      <c r="G531" s="143">
        <f>HLOOKUP("start",ESLData!H$1:H$9960,MATCH($A531,ESLData!$B$1:$B$9960,0))</f>
        <v>1049.26</v>
      </c>
      <c r="J531" s="156" t="s">
        <v>987</v>
      </c>
      <c r="K531" s="142" t="str">
        <f>IF(ISNA(HLOOKUP("start",ESLData!C$1:C$9960,MATCH($A531,ESLData!$B$1:$B$9960,0))),"",HLOOKUP("start",ESLData!C$1:C$9960,MATCH($A531,ESLData!$B$1:$B$9960,0)))</f>
        <v>Napier - Printing/Stationery</v>
      </c>
    </row>
    <row r="532" spans="1:11" ht="14.25" customHeight="1" x14ac:dyDescent="0.2">
      <c r="A532" s="144">
        <v>39209</v>
      </c>
      <c r="C532" s="143">
        <f>HLOOKUP("start",ESLData!E$1:E$9960,MATCH($A532,ESLData!$B$1:$B$9960,0))</f>
        <v>3372.88</v>
      </c>
      <c r="E532" s="143">
        <f>HLOOKUP("start",ESLData!F$1:F$9960,MATCH($A532,ESLData!$B$1:$B$9960,0))</f>
        <v>2200</v>
      </c>
      <c r="F532" s="148"/>
      <c r="G532" s="143">
        <f>HLOOKUP("start",ESLData!H$1:H$9960,MATCH($A532,ESLData!$B$1:$B$9960,0))</f>
        <v>2180.13</v>
      </c>
      <c r="J532" s="156" t="s">
        <v>987</v>
      </c>
      <c r="K532" s="142" t="str">
        <f>IF(ISNA(HLOOKUP("start",ESLData!C$1:C$9960,MATCH($A532,ESLData!$B$1:$B$9960,0))),"",HLOOKUP("start",ESLData!C$1:C$9960,MATCH($A532,ESLData!$B$1:$B$9960,0)))</f>
        <v>Napier - Consumables</v>
      </c>
    </row>
    <row r="533" spans="1:11" ht="14.25" customHeight="1" x14ac:dyDescent="0.2">
      <c r="A533" s="144">
        <v>39210</v>
      </c>
      <c r="C533" s="143">
        <f>HLOOKUP("start",ESLData!E$1:E$9960,MATCH($A533,ESLData!$B$1:$B$9960,0))</f>
        <v>0</v>
      </c>
      <c r="E533" s="143">
        <f>HLOOKUP("start",ESLData!F$1:F$9960,MATCH($A533,ESLData!$B$1:$B$9960,0))</f>
        <v>0</v>
      </c>
      <c r="F533" s="148"/>
      <c r="G533" s="143">
        <f>HLOOKUP("start",ESLData!H$1:H$9960,MATCH($A533,ESLData!$B$1:$B$9960,0))</f>
        <v>0</v>
      </c>
      <c r="J533" s="156" t="s">
        <v>987</v>
      </c>
      <c r="K533" s="142" t="str">
        <f>IF(ISNA(HLOOKUP("start",ESLData!C$1:C$9960,MATCH($A533,ESLData!$B$1:$B$9960,0))),"",HLOOKUP("start",ESLData!C$1:C$9960,MATCH($A533,ESLData!$B$1:$B$9960,0)))</f>
        <v>Napier - Publications</v>
      </c>
    </row>
    <row r="534" spans="1:11" ht="14.25" customHeight="1" x14ac:dyDescent="0.2">
      <c r="A534" s="144">
        <v>39211</v>
      </c>
      <c r="C534" s="143">
        <f>HLOOKUP("start",ESLData!E$1:E$9960,MATCH($A534,ESLData!$B$1:$B$9960,0))</f>
        <v>0</v>
      </c>
      <c r="E534" s="143">
        <f>HLOOKUP("start",ESLData!F$1:F$9960,MATCH($A534,ESLData!$B$1:$B$9960,0))</f>
        <v>0</v>
      </c>
      <c r="F534" s="148"/>
      <c r="G534" s="143">
        <f>HLOOKUP("start",ESLData!H$1:H$9960,MATCH($A534,ESLData!$B$1:$B$9960,0))</f>
        <v>0</v>
      </c>
      <c r="J534" s="156" t="s">
        <v>987</v>
      </c>
      <c r="K534" s="142" t="str">
        <f>IF(ISNA(HLOOKUP("start",ESLData!C$1:C$9960,MATCH($A534,ESLData!$B$1:$B$9960,0))),"",HLOOKUP("start",ESLData!C$1:C$9960,MATCH($A534,ESLData!$B$1:$B$9960,0)))</f>
        <v>Subs/Membership Fees</v>
      </c>
    </row>
    <row r="535" spans="1:11" ht="14.25" customHeight="1" x14ac:dyDescent="0.2">
      <c r="A535" s="144">
        <v>39214</v>
      </c>
      <c r="C535" s="143">
        <f>HLOOKUP("start",ESLData!E$1:E$9960,MATCH($A535,ESLData!$B$1:$B$9960,0))</f>
        <v>187.04</v>
      </c>
      <c r="E535" s="143">
        <f>HLOOKUP("start",ESLData!F$1:F$9960,MATCH($A535,ESLData!$B$1:$B$9960,0))</f>
        <v>500</v>
      </c>
      <c r="G535" s="143">
        <f>HLOOKUP("start",ESLData!H$1:H$9960,MATCH($A535,ESLData!$B$1:$B$9960,0))</f>
        <v>318.27</v>
      </c>
      <c r="J535" s="156" t="s">
        <v>987</v>
      </c>
      <c r="K535" s="142" t="str">
        <f>IF(ISNA(HLOOKUP("start",ESLData!C$1:C$9960,MATCH($A535,ESLData!$B$1:$B$9960,0))),"",HLOOKUP("start",ESLData!C$1:C$9960,MATCH($A535,ESLData!$B$1:$B$9960,0)))</f>
        <v>Napier - Educational Resources</v>
      </c>
    </row>
    <row r="536" spans="1:11" ht="14.25" customHeight="1" x14ac:dyDescent="0.2">
      <c r="A536" s="144">
        <v>39215</v>
      </c>
      <c r="C536" s="143">
        <f>HLOOKUP("start",ESLData!E$1:E$9960,MATCH($A536,ESLData!$B$1:$B$9960,0))</f>
        <v>0</v>
      </c>
      <c r="E536" s="143">
        <f>HLOOKUP("start",ESLData!F$1:F$9960,MATCH($A536,ESLData!$B$1:$B$9960,0))</f>
        <v>200</v>
      </c>
      <c r="G536" s="143">
        <f>HLOOKUP("start",ESLData!H$1:H$9960,MATCH($A536,ESLData!$B$1:$B$9960,0))</f>
        <v>109.03</v>
      </c>
      <c r="J536" s="156" t="s">
        <v>987</v>
      </c>
      <c r="K536" s="142" t="str">
        <f>IF(ISNA(HLOOKUP("start",ESLData!C$1:C$9960,MATCH($A536,ESLData!$B$1:$B$9960,0))),"",HLOOKUP("start",ESLData!C$1:C$9960,MATCH($A536,ESLData!$B$1:$B$9960,0)))</f>
        <v>Napier - DOM Expenses</v>
      </c>
    </row>
    <row r="537" spans="1:11" ht="14.25" customHeight="1" x14ac:dyDescent="0.2">
      <c r="A537" s="144">
        <v>39232</v>
      </c>
      <c r="C537" s="143">
        <f>HLOOKUP("start",ESLData!E$1:E$9960,MATCH($A537,ESLData!$B$1:$B$9960,0))</f>
        <v>3038.5</v>
      </c>
      <c r="E537" s="143">
        <f>HLOOKUP("start",ESLData!F$1:F$9960,MATCH($A537,ESLData!$B$1:$B$9960,0))</f>
        <v>3000</v>
      </c>
      <c r="G537" s="143">
        <f>HLOOKUP("start",ESLData!H$1:H$9960,MATCH($A537,ESLData!$B$1:$B$9960,0))</f>
        <v>2301.67</v>
      </c>
      <c r="J537" s="156" t="s">
        <v>987</v>
      </c>
      <c r="K537" s="142" t="str">
        <f>IF(ISNA(HLOOKUP("start",ESLData!C$1:C$9960,MATCH($A537,ESLData!$B$1:$B$9960,0))),"",HLOOKUP("start",ESLData!C$1:C$9960,MATCH($A537,ESLData!$B$1:$B$9960,0)))</f>
        <v>Staff Travel &amp; Accommodation</v>
      </c>
    </row>
    <row r="538" spans="1:11" ht="14.25" customHeight="1" x14ac:dyDescent="0.2">
      <c r="A538" s="144">
        <v>39234</v>
      </c>
      <c r="C538" s="143">
        <f>HLOOKUP("start",ESLData!E$1:E$9960,MATCH($A538,ESLData!$B$1:$B$9960,0))</f>
        <v>3827.9</v>
      </c>
      <c r="E538" s="143">
        <f>HLOOKUP("start",ESLData!F$1:F$9960,MATCH($A538,ESLData!$B$1:$B$9960,0))</f>
        <v>6000</v>
      </c>
      <c r="G538" s="143">
        <f>HLOOKUP("start",ESLData!H$1:H$9960,MATCH($A538,ESLData!$B$1:$B$9960,0))</f>
        <v>5908.78</v>
      </c>
      <c r="J538" s="156" t="s">
        <v>987</v>
      </c>
      <c r="K538" s="142" t="str">
        <f>IF(ISNA(HLOOKUP("start",ESLData!C$1:C$9960,MATCH($A538,ESLData!$B$1:$B$9960,0))),"",HLOOKUP("start",ESLData!C$1:C$9960,MATCH($A538,ESLData!$B$1:$B$9960,0)))</f>
        <v>Petrol</v>
      </c>
    </row>
    <row r="539" spans="1:11" ht="14.25" customHeight="1" x14ac:dyDescent="0.2">
      <c r="A539" s="144">
        <v>39252</v>
      </c>
      <c r="C539" s="143">
        <f>HLOOKUP("start",ESLData!E$1:E$9960,MATCH($A539,ESLData!$B$1:$B$9960,0))</f>
        <v>0</v>
      </c>
      <c r="E539" s="143">
        <f>HLOOKUP("start",ESLData!F$1:F$9960,MATCH($A539,ESLData!$B$1:$B$9960,0))</f>
        <v>0</v>
      </c>
      <c r="G539" s="143">
        <f>HLOOKUP("start",ESLData!H$1:H$9960,MATCH($A539,ESLData!$B$1:$B$9960,0))</f>
        <v>0</v>
      </c>
      <c r="J539" s="156" t="s">
        <v>987</v>
      </c>
      <c r="K539" s="142" t="str">
        <f>IF(ISNA(HLOOKUP("start",ESLData!C$1:C$9960,MATCH($A539,ESLData!$B$1:$B$9960,0))),"",HLOOKUP("start",ESLData!C$1:C$9960,MATCH($A539,ESLData!$B$1:$B$9960,0)))</f>
        <v>Telephone Rental/Tolls/Faxes</v>
      </c>
    </row>
    <row r="540" spans="1:11" ht="14.25" customHeight="1" x14ac:dyDescent="0.2">
      <c r="A540" s="144">
        <v>39257</v>
      </c>
      <c r="C540" s="143">
        <f>HLOOKUP("start",ESLData!E$1:E$9960,MATCH($A540,ESLData!$B$1:$B$9960,0))</f>
        <v>1345.9</v>
      </c>
      <c r="E540" s="143">
        <f>HLOOKUP("start",ESLData!F$1:F$9960,MATCH($A540,ESLData!$B$1:$B$9960,0))</f>
        <v>1000</v>
      </c>
      <c r="G540" s="143">
        <f>HLOOKUP("start",ESLData!H$1:H$9960,MATCH($A540,ESLData!$B$1:$B$9960,0))</f>
        <v>1150.07</v>
      </c>
      <c r="J540" s="156" t="s">
        <v>987</v>
      </c>
      <c r="K540" s="142" t="str">
        <f>IF(ISNA(HLOOKUP("start",ESLData!C$1:C$9960,MATCH($A540,ESLData!$B$1:$B$9960,0))),"",HLOOKUP("start",ESLData!C$1:C$9960,MATCH($A540,ESLData!$B$1:$B$9960,0)))</f>
        <v>PN - Photocopying</v>
      </c>
    </row>
    <row r="541" spans="1:11" ht="14.25" customHeight="1" x14ac:dyDescent="0.2">
      <c r="A541" s="144">
        <v>39258</v>
      </c>
      <c r="C541" s="143">
        <f>HLOOKUP("start",ESLData!E$1:E$9960,MATCH($A541,ESLData!$B$1:$B$9960,0))</f>
        <v>918.55</v>
      </c>
      <c r="E541" s="143">
        <f>HLOOKUP("start",ESLData!F$1:F$9960,MATCH($A541,ESLData!$B$1:$B$9960,0))</f>
        <v>1200</v>
      </c>
      <c r="G541" s="143">
        <f>HLOOKUP("start",ESLData!H$1:H$9960,MATCH($A541,ESLData!$B$1:$B$9960,0))</f>
        <v>1653.46</v>
      </c>
      <c r="J541" s="156" t="s">
        <v>987</v>
      </c>
      <c r="K541" s="142" t="str">
        <f>IF(ISNA(HLOOKUP("start",ESLData!C$1:C$9960,MATCH($A541,ESLData!$B$1:$B$9960,0))),"",HLOOKUP("start",ESLData!C$1:C$9960,MATCH($A541,ESLData!$B$1:$B$9960,0)))</f>
        <v>PN - Printing/Stationery</v>
      </c>
    </row>
    <row r="542" spans="1:11" ht="14.25" customHeight="1" x14ac:dyDescent="0.2">
      <c r="A542" s="144">
        <v>39259</v>
      </c>
      <c r="C542" s="143">
        <f>HLOOKUP("start",ESLData!E$1:E$9960,MATCH($A542,ESLData!$B$1:$B$9960,0))</f>
        <v>3006.1</v>
      </c>
      <c r="E542" s="143">
        <f>HLOOKUP("start",ESLData!F$1:F$9960,MATCH($A542,ESLData!$B$1:$B$9960,0))</f>
        <v>4200</v>
      </c>
      <c r="G542" s="143">
        <f>HLOOKUP("start",ESLData!H$1:H$9960,MATCH($A542,ESLData!$B$1:$B$9960,0))</f>
        <v>3454.49</v>
      </c>
      <c r="J542" s="156" t="s">
        <v>987</v>
      </c>
      <c r="K542" s="142" t="str">
        <f>IF(ISNA(HLOOKUP("start",ESLData!C$1:C$9960,MATCH($A542,ESLData!$B$1:$B$9960,0))),"",HLOOKUP("start",ESLData!C$1:C$9960,MATCH($A542,ESLData!$B$1:$B$9960,0)))</f>
        <v>PN - Consumables</v>
      </c>
    </row>
    <row r="543" spans="1:11" ht="14.25" customHeight="1" x14ac:dyDescent="0.2">
      <c r="A543" s="144">
        <v>39260</v>
      </c>
      <c r="C543" s="143">
        <f>HLOOKUP("start",ESLData!E$1:E$9960,MATCH($A543,ESLData!$B$1:$B$9960,0))</f>
        <v>170.72</v>
      </c>
      <c r="E543" s="143">
        <f>HLOOKUP("start",ESLData!F$1:F$9960,MATCH($A543,ESLData!$B$1:$B$9960,0))</f>
        <v>0</v>
      </c>
      <c r="G543" s="143">
        <f>HLOOKUP("start",ESLData!H$1:H$9960,MATCH($A543,ESLData!$B$1:$B$9960,0))</f>
        <v>0</v>
      </c>
      <c r="J543" s="156" t="s">
        <v>987</v>
      </c>
      <c r="K543" s="142" t="str">
        <f>IF(ISNA(HLOOKUP("start",ESLData!C$1:C$9960,MATCH($A543,ESLData!$B$1:$B$9960,0))),"",HLOOKUP("start",ESLData!C$1:C$9960,MATCH($A543,ESLData!$B$1:$B$9960,0)))</f>
        <v>PN - Publications</v>
      </c>
    </row>
    <row r="544" spans="1:11" ht="14.25" customHeight="1" x14ac:dyDescent="0.2">
      <c r="A544" s="144">
        <v>39261</v>
      </c>
      <c r="C544" s="143">
        <f>HLOOKUP("start",ESLData!E$1:E$9960,MATCH($A544,ESLData!$B$1:$B$9960,0))</f>
        <v>138.26</v>
      </c>
      <c r="E544" s="143">
        <f>HLOOKUP("start",ESLData!F$1:F$9960,MATCH($A544,ESLData!$B$1:$B$9960,0))</f>
        <v>0</v>
      </c>
      <c r="G544" s="143">
        <f>HLOOKUP("start",ESLData!H$1:H$9960,MATCH($A544,ESLData!$B$1:$B$9960,0))</f>
        <v>0</v>
      </c>
      <c r="J544" s="156" t="s">
        <v>987</v>
      </c>
      <c r="K544" s="142" t="str">
        <f>IF(ISNA(HLOOKUP("start",ESLData!C$1:C$9960,MATCH($A544,ESLData!$B$1:$B$9960,0))),"",HLOOKUP("start",ESLData!C$1:C$9960,MATCH($A544,ESLData!$B$1:$B$9960,0)))</f>
        <v>PN - Subs/Membership Fees</v>
      </c>
    </row>
    <row r="545" spans="1:11" ht="14.25" customHeight="1" x14ac:dyDescent="0.2">
      <c r="A545" s="144">
        <v>39263</v>
      </c>
      <c r="C545" s="143">
        <f>HLOOKUP("start",ESLData!E$1:E$9960,MATCH($A545,ESLData!$B$1:$B$9960,0))</f>
        <v>427.65</v>
      </c>
      <c r="E545" s="143">
        <f>HLOOKUP("start",ESLData!F$1:F$9960,MATCH($A545,ESLData!$B$1:$B$9960,0))</f>
        <v>500</v>
      </c>
      <c r="G545" s="143">
        <f>HLOOKUP("start",ESLData!H$1:H$9960,MATCH($A545,ESLData!$B$1:$B$9960,0))</f>
        <v>520.22</v>
      </c>
      <c r="J545" s="156" t="s">
        <v>987</v>
      </c>
      <c r="K545" s="142" t="str">
        <f>IF(ISNA(HLOOKUP("start",ESLData!C$1:C$9960,MATCH($A545,ESLData!$B$1:$B$9960,0))),"",HLOOKUP("start",ESLData!C$1:C$9960,MATCH($A545,ESLData!$B$1:$B$9960,0)))</f>
        <v>PN - Educational Resources</v>
      </c>
    </row>
    <row r="546" spans="1:11" ht="14.25" customHeight="1" x14ac:dyDescent="0.2">
      <c r="A546" s="144">
        <v>39264</v>
      </c>
      <c r="C546" s="143">
        <f>HLOOKUP("start",ESLData!E$1:E$9960,MATCH($A546,ESLData!$B$1:$B$9960,0))</f>
        <v>131.09</v>
      </c>
      <c r="E546" s="143">
        <f>HLOOKUP("start",ESLData!F$1:F$9960,MATCH($A546,ESLData!$B$1:$B$9960,0))</f>
        <v>200</v>
      </c>
      <c r="G546" s="143">
        <f>HLOOKUP("start",ESLData!H$1:H$9960,MATCH($A546,ESLData!$B$1:$B$9960,0))</f>
        <v>519.96</v>
      </c>
      <c r="J546" s="156" t="s">
        <v>987</v>
      </c>
      <c r="K546" s="142" t="str">
        <f>IF(ISNA(HLOOKUP("start",ESLData!C$1:C$9960,MATCH($A546,ESLData!$B$1:$B$9960,0))),"",HLOOKUP("start",ESLData!C$1:C$9960,MATCH($A546,ESLData!$B$1:$B$9960,0)))</f>
        <v>PN - DOM Expenses</v>
      </c>
    </row>
    <row r="547" spans="1:11" ht="14.25" customHeight="1" x14ac:dyDescent="0.2">
      <c r="A547" s="144">
        <v>39265</v>
      </c>
      <c r="C547" s="143">
        <f>HLOOKUP("start",ESLData!E$1:E$9960,MATCH($A547,ESLData!$B$1:$B$9960,0))</f>
        <v>0</v>
      </c>
      <c r="E547" s="143">
        <f>HLOOKUP("start",ESLData!F$1:F$9960,MATCH($A547,ESLData!$B$1:$B$9960,0))</f>
        <v>0</v>
      </c>
      <c r="G547" s="143">
        <f>HLOOKUP("start",ESLData!H$1:H$9960,MATCH($A547,ESLData!$B$1:$B$9960,0))</f>
        <v>0</v>
      </c>
      <c r="J547" s="156" t="s">
        <v>987</v>
      </c>
      <c r="K547" s="142" t="str">
        <f>IF(ISNA(HLOOKUP("start",ESLData!C$1:C$9960,MATCH($A547,ESLData!$B$1:$B$9960,0))),"",HLOOKUP("start",ESLData!C$1:C$9960,MATCH($A547,ESLData!$B$1:$B$9960,0)))</f>
        <v>Itinerant Music Costs</v>
      </c>
    </row>
    <row r="548" spans="1:11" ht="14.25" customHeight="1" x14ac:dyDescent="0.2">
      <c r="A548" s="144">
        <v>39282</v>
      </c>
      <c r="C548" s="143">
        <f>HLOOKUP("start",ESLData!E$1:E$9960,MATCH($A548,ESLData!$B$1:$B$9960,0))</f>
        <v>3899.52</v>
      </c>
      <c r="E548" s="143">
        <f>HLOOKUP("start",ESLData!F$1:F$9960,MATCH($A548,ESLData!$B$1:$B$9960,0))</f>
        <v>3500</v>
      </c>
      <c r="G548" s="143">
        <f>HLOOKUP("start",ESLData!H$1:H$9960,MATCH($A548,ESLData!$B$1:$B$9960,0))</f>
        <v>3647.08</v>
      </c>
      <c r="J548" s="156" t="s">
        <v>987</v>
      </c>
      <c r="K548" s="142" t="str">
        <f>IF(ISNA(HLOOKUP("start",ESLData!C$1:C$9960,MATCH($A548,ESLData!$B$1:$B$9960,0))),"",HLOOKUP("start",ESLData!C$1:C$9960,MATCH($A548,ESLData!$B$1:$B$9960,0)))</f>
        <v>Staff Travel &amp; Accommodation</v>
      </c>
    </row>
    <row r="549" spans="1:11" ht="14.25" customHeight="1" x14ac:dyDescent="0.2">
      <c r="A549" s="144">
        <v>39284</v>
      </c>
      <c r="C549" s="143">
        <f>HLOOKUP("start",ESLData!E$1:E$9960,MATCH($A549,ESLData!$B$1:$B$9960,0))</f>
        <v>9158.2999999999993</v>
      </c>
      <c r="E549" s="143">
        <f>HLOOKUP("start",ESLData!F$1:F$9960,MATCH($A549,ESLData!$B$1:$B$9960,0))</f>
        <v>8500</v>
      </c>
      <c r="G549" s="143">
        <f>HLOOKUP("start",ESLData!H$1:H$9960,MATCH($A549,ESLData!$B$1:$B$9960,0))</f>
        <v>8276.09</v>
      </c>
      <c r="J549" s="156" t="s">
        <v>987</v>
      </c>
      <c r="K549" s="142" t="str">
        <f>IF(ISNA(HLOOKUP("start",ESLData!C$1:C$9960,MATCH($A549,ESLData!$B$1:$B$9960,0))),"",HLOOKUP("start",ESLData!C$1:C$9960,MATCH($A549,ESLData!$B$1:$B$9960,0)))</f>
        <v>Petrol</v>
      </c>
    </row>
    <row r="550" spans="1:11" ht="14.25" customHeight="1" x14ac:dyDescent="0.2">
      <c r="A550" s="144">
        <v>39302</v>
      </c>
      <c r="C550" s="143">
        <f>HLOOKUP("start",ESLData!E$1:E$9960,MATCH($A550,ESLData!$B$1:$B$9960,0))</f>
        <v>0</v>
      </c>
      <c r="E550" s="143">
        <f>HLOOKUP("start",ESLData!F$1:F$9960,MATCH($A550,ESLData!$B$1:$B$9960,0))</f>
        <v>0</v>
      </c>
      <c r="G550" s="143">
        <f>HLOOKUP("start",ESLData!H$1:H$9960,MATCH($A550,ESLData!$B$1:$B$9960,0))</f>
        <v>0</v>
      </c>
      <c r="J550" s="156" t="s">
        <v>987</v>
      </c>
      <c r="K550" s="142" t="str">
        <f>IF(ISNA(HLOOKUP("start",ESLData!C$1:C$9960,MATCH($A550,ESLData!$B$1:$B$9960,0))),"",HLOOKUP("start",ESLData!C$1:C$9960,MATCH($A550,ESLData!$B$1:$B$9960,0)))</f>
        <v>Telephone Rental/Tolls/Faxes</v>
      </c>
    </row>
    <row r="551" spans="1:11" ht="14.25" customHeight="1" x14ac:dyDescent="0.2">
      <c r="A551" s="144">
        <v>39307</v>
      </c>
      <c r="C551" s="143">
        <f>HLOOKUP("start",ESLData!E$1:E$9960,MATCH($A551,ESLData!$B$1:$B$9960,0))</f>
        <v>1865.63</v>
      </c>
      <c r="E551" s="143">
        <f>HLOOKUP("start",ESLData!F$1:F$9960,MATCH($A551,ESLData!$B$1:$B$9960,0))</f>
        <v>1400</v>
      </c>
      <c r="G551" s="143">
        <f>HLOOKUP("start",ESLData!H$1:H$9960,MATCH($A551,ESLData!$B$1:$B$9960,0))</f>
        <v>1515.64</v>
      </c>
      <c r="J551" s="156" t="s">
        <v>987</v>
      </c>
      <c r="K551" s="142" t="str">
        <f>IF(ISNA(HLOOKUP("start",ESLData!C$1:C$9960,MATCH($A551,ESLData!$B$1:$B$9960,0))),"",HLOOKUP("start",ESLData!C$1:C$9960,MATCH($A551,ESLData!$B$1:$B$9960,0)))</f>
        <v>Tauranga - Photocopying</v>
      </c>
    </row>
    <row r="552" spans="1:11" ht="14.25" customHeight="1" x14ac:dyDescent="0.2">
      <c r="A552" s="144">
        <v>39308</v>
      </c>
      <c r="C552" s="143">
        <f>HLOOKUP("start",ESLData!E$1:E$9960,MATCH($A552,ESLData!$B$1:$B$9960,0))</f>
        <v>1462.04</v>
      </c>
      <c r="E552" s="143">
        <f>HLOOKUP("start",ESLData!F$1:F$9960,MATCH($A552,ESLData!$B$1:$B$9960,0))</f>
        <v>2000</v>
      </c>
      <c r="G552" s="143">
        <f>HLOOKUP("start",ESLData!H$1:H$9960,MATCH($A552,ESLData!$B$1:$B$9960,0))</f>
        <v>1900.5</v>
      </c>
      <c r="J552" s="156" t="s">
        <v>987</v>
      </c>
      <c r="K552" s="142" t="str">
        <f>IF(ISNA(HLOOKUP("start",ESLData!C$1:C$9960,MATCH($A552,ESLData!$B$1:$B$9960,0))),"",HLOOKUP("start",ESLData!C$1:C$9960,MATCH($A552,ESLData!$B$1:$B$9960,0)))</f>
        <v>Tauranga - Printing/Stationery</v>
      </c>
    </row>
    <row r="553" spans="1:11" ht="14.25" customHeight="1" x14ac:dyDescent="0.2">
      <c r="A553" s="144">
        <v>39309</v>
      </c>
      <c r="C553" s="143">
        <f>HLOOKUP("start",ESLData!E$1:E$9960,MATCH($A553,ESLData!$B$1:$B$9960,0))</f>
        <v>6333.52</v>
      </c>
      <c r="E553" s="143">
        <f>HLOOKUP("start",ESLData!F$1:F$9960,MATCH($A553,ESLData!$B$1:$B$9960,0))</f>
        <v>8000</v>
      </c>
      <c r="G553" s="143">
        <f>HLOOKUP("start",ESLData!H$1:H$9960,MATCH($A553,ESLData!$B$1:$B$9960,0))</f>
        <v>8738.6</v>
      </c>
      <c r="J553" s="156" t="s">
        <v>987</v>
      </c>
      <c r="K553" s="142" t="str">
        <f>IF(ISNA(HLOOKUP("start",ESLData!C$1:C$9960,MATCH($A553,ESLData!$B$1:$B$9960,0))),"",HLOOKUP("start",ESLData!C$1:C$9960,MATCH($A553,ESLData!$B$1:$B$9960,0)))</f>
        <v>Tauranga - Consumables</v>
      </c>
    </row>
    <row r="554" spans="1:11" ht="14.25" customHeight="1" x14ac:dyDescent="0.2">
      <c r="A554" s="144">
        <v>39311</v>
      </c>
      <c r="C554" s="143">
        <f>HLOOKUP("start",ESLData!E$1:E$9960,MATCH($A554,ESLData!$B$1:$B$9960,0))</f>
        <v>378</v>
      </c>
      <c r="E554" s="143">
        <f>HLOOKUP("start",ESLData!F$1:F$9960,MATCH($A554,ESLData!$B$1:$B$9960,0))</f>
        <v>500</v>
      </c>
      <c r="G554" s="143">
        <f>HLOOKUP("start",ESLData!H$1:H$9960,MATCH($A554,ESLData!$B$1:$B$9960,0))</f>
        <v>397.77</v>
      </c>
      <c r="J554" s="156" t="s">
        <v>987</v>
      </c>
      <c r="K554" s="142" t="str">
        <f>IF(ISNA(HLOOKUP("start",ESLData!C$1:C$9960,MATCH($A554,ESLData!$B$1:$B$9960,0))),"",HLOOKUP("start",ESLData!C$1:C$9960,MATCH($A554,ESLData!$B$1:$B$9960,0)))</f>
        <v>Tauranga - Subs/Membership Fees</v>
      </c>
    </row>
    <row r="555" spans="1:11" ht="14.25" customHeight="1" x14ac:dyDescent="0.2">
      <c r="A555" s="144">
        <v>39313</v>
      </c>
      <c r="C555" s="143">
        <f>HLOOKUP("start",ESLData!E$1:E$9960,MATCH($A555,ESLData!$B$1:$B$9960,0))</f>
        <v>2796.3</v>
      </c>
      <c r="E555" s="143">
        <f>HLOOKUP("start",ESLData!F$1:F$9960,MATCH($A555,ESLData!$B$1:$B$9960,0))</f>
        <v>3000</v>
      </c>
      <c r="G555" s="143">
        <f>HLOOKUP("start",ESLData!H$1:H$9960,MATCH($A555,ESLData!$B$1:$B$9960,0))</f>
        <v>3492.85</v>
      </c>
      <c r="J555" s="156" t="s">
        <v>987</v>
      </c>
      <c r="K555" s="142" t="str">
        <f>IF(ISNA(HLOOKUP("start",ESLData!C$1:C$9960,MATCH($A555,ESLData!$B$1:$B$9960,0))),"",HLOOKUP("start",ESLData!C$1:C$9960,MATCH($A555,ESLData!$B$1:$B$9960,0)))</f>
        <v>Tauranga - Teaching Resources</v>
      </c>
    </row>
    <row r="556" spans="1:11" ht="14.25" customHeight="1" x14ac:dyDescent="0.2">
      <c r="A556" s="144">
        <v>39314</v>
      </c>
      <c r="C556" s="143">
        <f>HLOOKUP("start",ESLData!E$1:E$9960,MATCH($A556,ESLData!$B$1:$B$9960,0))</f>
        <v>707.6</v>
      </c>
      <c r="E556" s="143">
        <f>HLOOKUP("start",ESLData!F$1:F$9960,MATCH($A556,ESLData!$B$1:$B$9960,0))</f>
        <v>500</v>
      </c>
      <c r="G556" s="143">
        <f>HLOOKUP("start",ESLData!H$1:H$9960,MATCH($A556,ESLData!$B$1:$B$9960,0))</f>
        <v>511.17</v>
      </c>
      <c r="J556" s="156" t="s">
        <v>987</v>
      </c>
      <c r="K556" s="142" t="str">
        <f>IF(ISNA(HLOOKUP("start",ESLData!C$1:C$9960,MATCH($A556,ESLData!$B$1:$B$9960,0))),"",HLOOKUP("start",ESLData!C$1:C$9960,MATCH($A556,ESLData!$B$1:$B$9960,0)))</f>
        <v>Tauranga - Professional Materials</v>
      </c>
    </row>
    <row r="557" spans="1:11" ht="14.25" customHeight="1" x14ac:dyDescent="0.2">
      <c r="A557" s="144">
        <v>39315</v>
      </c>
      <c r="C557" s="143">
        <f>HLOOKUP("start",ESLData!E$1:E$9960,MATCH($A557,ESLData!$B$1:$B$9960,0))</f>
        <v>0</v>
      </c>
      <c r="E557" s="143">
        <f>HLOOKUP("start",ESLData!F$1:F$9960,MATCH($A557,ESLData!$B$1:$B$9960,0))</f>
        <v>200</v>
      </c>
      <c r="G557" s="143">
        <f>HLOOKUP("start",ESLData!H$1:H$9960,MATCH($A557,ESLData!$B$1:$B$9960,0))</f>
        <v>3.48</v>
      </c>
      <c r="J557" s="156" t="s">
        <v>987</v>
      </c>
      <c r="K557" s="142" t="str">
        <f>IF(ISNA(HLOOKUP("start",ESLData!C$1:C$9960,MATCH($A557,ESLData!$B$1:$B$9960,0))),"",HLOOKUP("start",ESLData!C$1:C$9960,MATCH($A557,ESLData!$B$1:$B$9960,0)))</f>
        <v>Tauranga - DOM Expenses</v>
      </c>
    </row>
    <row r="558" spans="1:11" ht="14.25" customHeight="1" x14ac:dyDescent="0.2">
      <c r="A558" s="144">
        <v>39332</v>
      </c>
      <c r="C558" s="143">
        <f>HLOOKUP("start",ESLData!E$1:E$9960,MATCH($A558,ESLData!$B$1:$B$9960,0))</f>
        <v>3456.17</v>
      </c>
      <c r="E558" s="143">
        <f>HLOOKUP("start",ESLData!F$1:F$9960,MATCH($A558,ESLData!$B$1:$B$9960,0))</f>
        <v>2000</v>
      </c>
      <c r="G558" s="143">
        <f>HLOOKUP("start",ESLData!H$1:H$9960,MATCH($A558,ESLData!$B$1:$B$9960,0))</f>
        <v>2380.34</v>
      </c>
      <c r="J558" s="156" t="s">
        <v>987</v>
      </c>
      <c r="K558" s="142" t="str">
        <f>IF(ISNA(HLOOKUP("start",ESLData!C$1:C$9960,MATCH($A558,ESLData!$B$1:$B$9960,0))),"",HLOOKUP("start",ESLData!C$1:C$9960,MATCH($A558,ESLData!$B$1:$B$9960,0)))</f>
        <v>Staff Travel &amp; Accommodation</v>
      </c>
    </row>
    <row r="559" spans="1:11" ht="14.25" customHeight="1" x14ac:dyDescent="0.2">
      <c r="A559" s="144">
        <v>39333</v>
      </c>
      <c r="C559" s="143">
        <f>HLOOKUP("start",ESLData!E$1:E$9960,MATCH($A559,ESLData!$B$1:$B$9960,0))</f>
        <v>0</v>
      </c>
      <c r="E559" s="143">
        <f>HLOOKUP("start",ESLData!F$1:F$9960,MATCH($A559,ESLData!$B$1:$B$9960,0))</f>
        <v>0</v>
      </c>
      <c r="G559" s="143">
        <f>HLOOKUP("start",ESLData!H$1:H$9960,MATCH($A559,ESLData!$B$1:$B$9960,0))</f>
        <v>0</v>
      </c>
      <c r="J559" s="156" t="s">
        <v>987</v>
      </c>
      <c r="K559" s="142" t="str">
        <f>IF(ISNA(HLOOKUP("start",ESLData!C$1:C$9960,MATCH($A559,ESLData!$B$1:$B$9960,0))),"",HLOOKUP("start",ESLData!C$1:C$9960,MATCH($A559,ESLData!$B$1:$B$9960,0)))</f>
        <v>Road Tolls</v>
      </c>
    </row>
    <row r="560" spans="1:11" ht="14.25" customHeight="1" x14ac:dyDescent="0.2">
      <c r="A560" s="144">
        <v>39334</v>
      </c>
      <c r="C560" s="143">
        <f>HLOOKUP("start",ESLData!E$1:E$9960,MATCH($A560,ESLData!$B$1:$B$9960,0))</f>
        <v>14146.24</v>
      </c>
      <c r="E560" s="143">
        <f>HLOOKUP("start",ESLData!F$1:F$9960,MATCH($A560,ESLData!$B$1:$B$9960,0))</f>
        <v>15000</v>
      </c>
      <c r="G560" s="143">
        <f>HLOOKUP("start",ESLData!H$1:H$9960,MATCH($A560,ESLData!$B$1:$B$9960,0))</f>
        <v>14353.49</v>
      </c>
      <c r="J560" s="156" t="s">
        <v>987</v>
      </c>
      <c r="K560" s="142" t="str">
        <f>IF(ISNA(HLOOKUP("start",ESLData!C$1:C$9960,MATCH($A560,ESLData!$B$1:$B$9960,0))),"",HLOOKUP("start",ESLData!C$1:C$9960,MATCH($A560,ESLData!$B$1:$B$9960,0)))</f>
        <v>Petrol</v>
      </c>
    </row>
    <row r="561" spans="1:11" ht="14.25" customHeight="1" x14ac:dyDescent="0.2">
      <c r="A561" s="144">
        <v>39352</v>
      </c>
      <c r="C561" s="143">
        <f>HLOOKUP("start",ESLData!E$1:E$9960,MATCH($A561,ESLData!$B$1:$B$9960,0))</f>
        <v>0</v>
      </c>
      <c r="E561" s="143">
        <f>HLOOKUP("start",ESLData!F$1:F$9960,MATCH($A561,ESLData!$B$1:$B$9960,0))</f>
        <v>0</v>
      </c>
      <c r="G561" s="143">
        <f>HLOOKUP("start",ESLData!H$1:H$9960,MATCH($A561,ESLData!$B$1:$B$9960,0))</f>
        <v>0</v>
      </c>
      <c r="J561" s="156" t="s">
        <v>987</v>
      </c>
      <c r="K561" s="142" t="str">
        <f>IF(ISNA(HLOOKUP("start",ESLData!C$1:C$9960,MATCH($A561,ESLData!$B$1:$B$9960,0))),"",HLOOKUP("start",ESLData!C$1:C$9960,MATCH($A561,ESLData!$B$1:$B$9960,0)))</f>
        <v>Telephone Rental/Tolls/Faxes</v>
      </c>
    </row>
    <row r="562" spans="1:11" ht="14.25" customHeight="1" x14ac:dyDescent="0.2">
      <c r="A562" s="144">
        <v>39357</v>
      </c>
      <c r="C562" s="143">
        <f>HLOOKUP("start",ESLData!E$1:E$9960,MATCH($A562,ESLData!$B$1:$B$9960,0))</f>
        <v>827.42</v>
      </c>
      <c r="E562" s="143">
        <f>HLOOKUP("start",ESLData!F$1:F$9960,MATCH($A562,ESLData!$B$1:$B$9960,0))</f>
        <v>1000</v>
      </c>
      <c r="G562" s="143">
        <f>HLOOKUP("start",ESLData!H$1:H$9960,MATCH($A562,ESLData!$B$1:$B$9960,0))</f>
        <v>780.25</v>
      </c>
      <c r="J562" s="156" t="s">
        <v>987</v>
      </c>
      <c r="K562" s="142" t="str">
        <f>IF(ISNA(HLOOKUP("start",ESLData!C$1:C$9960,MATCH($A562,ESLData!$B$1:$B$9960,0))),"",HLOOKUP("start",ESLData!C$1:C$9960,MATCH($A562,ESLData!$B$1:$B$9960,0)))</f>
        <v>Taranaki - Photocopying</v>
      </c>
    </row>
    <row r="563" spans="1:11" ht="14.25" customHeight="1" x14ac:dyDescent="0.2">
      <c r="A563" s="144">
        <v>39358</v>
      </c>
      <c r="C563" s="143">
        <f>HLOOKUP("start",ESLData!E$1:E$9960,MATCH($A563,ESLData!$B$1:$B$9960,0))</f>
        <v>749.81</v>
      </c>
      <c r="E563" s="143">
        <f>HLOOKUP("start",ESLData!F$1:F$9960,MATCH($A563,ESLData!$B$1:$B$9960,0))</f>
        <v>750</v>
      </c>
      <c r="G563" s="143">
        <f>HLOOKUP("start",ESLData!H$1:H$9960,MATCH($A563,ESLData!$B$1:$B$9960,0))</f>
        <v>879.03</v>
      </c>
      <c r="J563" s="156" t="s">
        <v>987</v>
      </c>
      <c r="K563" s="142" t="str">
        <f>IF(ISNA(HLOOKUP("start",ESLData!C$1:C$9960,MATCH($A563,ESLData!$B$1:$B$9960,0))),"",HLOOKUP("start",ESLData!C$1:C$9960,MATCH($A563,ESLData!$B$1:$B$9960,0)))</f>
        <v>Taranaki - Printing/Stationery</v>
      </c>
    </row>
    <row r="564" spans="1:11" ht="14.25" customHeight="1" x14ac:dyDescent="0.2">
      <c r="A564" s="144">
        <v>39359</v>
      </c>
      <c r="C564" s="143">
        <f>HLOOKUP("start",ESLData!E$1:E$9960,MATCH($A564,ESLData!$B$1:$B$9960,0))</f>
        <v>3565.32</v>
      </c>
      <c r="E564" s="143">
        <f>HLOOKUP("start",ESLData!F$1:F$9960,MATCH($A564,ESLData!$B$1:$B$9960,0))</f>
        <v>3500</v>
      </c>
      <c r="G564" s="143">
        <f>HLOOKUP("start",ESLData!H$1:H$9960,MATCH($A564,ESLData!$B$1:$B$9960,0))</f>
        <v>3176.35</v>
      </c>
      <c r="J564" s="156" t="s">
        <v>987</v>
      </c>
      <c r="K564" s="142" t="str">
        <f>IF(ISNA(HLOOKUP("start",ESLData!C$1:C$9960,MATCH($A564,ESLData!$B$1:$B$9960,0))),"",HLOOKUP("start",ESLData!C$1:C$9960,MATCH($A564,ESLData!$B$1:$B$9960,0)))</f>
        <v>Taranaki - Consumables</v>
      </c>
    </row>
    <row r="565" spans="1:11" ht="14.25" customHeight="1" x14ac:dyDescent="0.2">
      <c r="A565" s="144">
        <v>39360</v>
      </c>
      <c r="C565" s="143">
        <f>HLOOKUP("start",ESLData!E$1:E$9960,MATCH($A565,ESLData!$B$1:$B$9960,0))</f>
        <v>0</v>
      </c>
      <c r="E565" s="143">
        <f>HLOOKUP("start",ESLData!F$1:F$9960,MATCH($A565,ESLData!$B$1:$B$9960,0))</f>
        <v>0</v>
      </c>
      <c r="G565" s="143">
        <f>HLOOKUP("start",ESLData!H$1:H$9960,MATCH($A565,ESLData!$B$1:$B$9960,0))</f>
        <v>85.97</v>
      </c>
      <c r="J565" s="156" t="s">
        <v>987</v>
      </c>
      <c r="K565" s="142" t="str">
        <f>IF(ISNA(HLOOKUP("start",ESLData!C$1:C$9960,MATCH($A565,ESLData!$B$1:$B$9960,0))),"",HLOOKUP("start",ESLData!C$1:C$9960,MATCH($A565,ESLData!$B$1:$B$9960,0)))</f>
        <v>Taranaki - Publications</v>
      </c>
    </row>
    <row r="566" spans="1:11" ht="14.25" customHeight="1" x14ac:dyDescent="0.2">
      <c r="A566" s="144">
        <v>39361</v>
      </c>
      <c r="C566" s="143">
        <f>HLOOKUP("start",ESLData!E$1:E$9960,MATCH($A566,ESLData!$B$1:$B$9960,0))</f>
        <v>0</v>
      </c>
      <c r="E566" s="143">
        <f>HLOOKUP("start",ESLData!F$1:F$9960,MATCH($A566,ESLData!$B$1:$B$9960,0))</f>
        <v>0</v>
      </c>
      <c r="G566" s="143">
        <f>HLOOKUP("start",ESLData!H$1:H$9960,MATCH($A566,ESLData!$B$1:$B$9960,0))</f>
        <v>0</v>
      </c>
      <c r="J566" s="156" t="s">
        <v>987</v>
      </c>
      <c r="K566" s="142" t="str">
        <f>IF(ISNA(HLOOKUP("start",ESLData!C$1:C$9960,MATCH($A566,ESLData!$B$1:$B$9960,0))),"",HLOOKUP("start",ESLData!C$1:C$9960,MATCH($A566,ESLData!$B$1:$B$9960,0)))</f>
        <v>Taranaki - Subs/Membership</v>
      </c>
    </row>
    <row r="567" spans="1:11" ht="14.25" customHeight="1" x14ac:dyDescent="0.2">
      <c r="A567" s="144">
        <v>39363</v>
      </c>
      <c r="C567" s="143">
        <f>HLOOKUP("start",ESLData!E$1:E$9960,MATCH($A567,ESLData!$B$1:$B$9960,0))</f>
        <v>1932.38</v>
      </c>
      <c r="E567" s="143">
        <f>HLOOKUP("start",ESLData!F$1:F$9960,MATCH($A567,ESLData!$B$1:$B$9960,0))</f>
        <v>2000</v>
      </c>
      <c r="G567" s="143">
        <f>HLOOKUP("start",ESLData!H$1:H$9960,MATCH($A567,ESLData!$B$1:$B$9960,0))</f>
        <v>1570.42</v>
      </c>
      <c r="J567" s="156" t="s">
        <v>987</v>
      </c>
      <c r="K567" s="142" t="str">
        <f>IF(ISNA(HLOOKUP("start",ESLData!C$1:C$9960,MATCH($A567,ESLData!$B$1:$B$9960,0))),"",HLOOKUP("start",ESLData!C$1:C$9960,MATCH($A567,ESLData!$B$1:$B$9960,0)))</f>
        <v>Taranaki - Educational Resources</v>
      </c>
    </row>
    <row r="568" spans="1:11" ht="14.25" customHeight="1" x14ac:dyDescent="0.2">
      <c r="A568" s="144">
        <v>39365</v>
      </c>
      <c r="C568" s="143">
        <f>HLOOKUP("start",ESLData!E$1:E$9960,MATCH($A568,ESLData!$B$1:$B$9960,0))</f>
        <v>203.65</v>
      </c>
      <c r="E568" s="143">
        <f>HLOOKUP("start",ESLData!F$1:F$9960,MATCH($A568,ESLData!$B$1:$B$9960,0))</f>
        <v>200</v>
      </c>
      <c r="G568" s="143">
        <f>HLOOKUP("start",ESLData!H$1:H$9960,MATCH($A568,ESLData!$B$1:$B$9960,0))</f>
        <v>100.87</v>
      </c>
      <c r="J568" s="156" t="s">
        <v>987</v>
      </c>
      <c r="K568" s="142" t="str">
        <f>IF(ISNA(HLOOKUP("start",ESLData!C$1:C$9960,MATCH($A568,ESLData!$B$1:$B$9960,0))),"",HLOOKUP("start",ESLData!C$1:C$9960,MATCH($A568,ESLData!$B$1:$B$9960,0)))</f>
        <v>Taranaki DOM Expenses</v>
      </c>
    </row>
    <row r="569" spans="1:11" ht="14.25" customHeight="1" x14ac:dyDescent="0.2">
      <c r="A569" s="144">
        <v>39382</v>
      </c>
      <c r="C569" s="143">
        <f>HLOOKUP("start",ESLData!E$1:E$9960,MATCH($A569,ESLData!$B$1:$B$9960,0))</f>
        <v>2126.1799999999998</v>
      </c>
      <c r="E569" s="143">
        <f>HLOOKUP("start",ESLData!F$1:F$9960,MATCH($A569,ESLData!$B$1:$B$9960,0))</f>
        <v>1200</v>
      </c>
      <c r="G569" s="143">
        <f>HLOOKUP("start",ESLData!H$1:H$9960,MATCH($A569,ESLData!$B$1:$B$9960,0))</f>
        <v>918.62</v>
      </c>
      <c r="J569" s="156" t="s">
        <v>987</v>
      </c>
      <c r="K569" s="142" t="str">
        <f>IF(ISNA(HLOOKUP("start",ESLData!C$1:C$9960,MATCH($A569,ESLData!$B$1:$B$9960,0))),"",HLOOKUP("start",ESLData!C$1:C$9960,MATCH($A569,ESLData!$B$1:$B$9960,0)))</f>
        <v>Staff Travel &amp; Accommodation</v>
      </c>
    </row>
    <row r="570" spans="1:11" ht="14.25" customHeight="1" x14ac:dyDescent="0.2">
      <c r="A570" s="144">
        <v>39384</v>
      </c>
      <c r="C570" s="143">
        <f>HLOOKUP("start",ESLData!E$1:E$9960,MATCH($A570,ESLData!$B$1:$B$9960,0))</f>
        <v>2159.7199999999998</v>
      </c>
      <c r="E570" s="143">
        <f>HLOOKUP("start",ESLData!F$1:F$9960,MATCH($A570,ESLData!$B$1:$B$9960,0))</f>
        <v>2800</v>
      </c>
      <c r="G570" s="143">
        <f>HLOOKUP("start",ESLData!H$1:H$9960,MATCH($A570,ESLData!$B$1:$B$9960,0))</f>
        <v>2371.33</v>
      </c>
      <c r="J570" s="156" t="s">
        <v>987</v>
      </c>
      <c r="K570" s="142" t="str">
        <f>IF(ISNA(HLOOKUP("start",ESLData!C$1:C$9960,MATCH($A570,ESLData!$B$1:$B$9960,0))),"",HLOOKUP("start",ESLData!C$1:C$9960,MATCH($A570,ESLData!$B$1:$B$9960,0)))</f>
        <v>Petrol</v>
      </c>
    </row>
    <row r="571" spans="1:11" ht="14.25" customHeight="1" x14ac:dyDescent="0.2">
      <c r="A571" s="144">
        <v>39405</v>
      </c>
      <c r="C571" s="143">
        <f>HLOOKUP("start",ESLData!E$1:E$9960,MATCH($A571,ESLData!$B$1:$B$9960,0))</f>
        <v>0</v>
      </c>
      <c r="E571" s="143">
        <f>HLOOKUP("start",ESLData!F$1:F$9960,MATCH($A571,ESLData!$B$1:$B$9960,0))</f>
        <v>0</v>
      </c>
      <c r="G571" s="143">
        <f>HLOOKUP("start",ESLData!H$1:H$9960,MATCH($A571,ESLData!$B$1:$B$9960,0))</f>
        <v>0</v>
      </c>
      <c r="J571" s="156" t="s">
        <v>987</v>
      </c>
      <c r="K571" s="142" t="str">
        <f>IF(ISNA(HLOOKUP("start",ESLData!C$1:C$9960,MATCH($A571,ESLData!$B$1:$B$9960,0))),"",HLOOKUP("start",ESLData!C$1:C$9960,MATCH($A571,ESLData!$B$1:$B$9960,0)))</f>
        <v>Otago - Telephone Rental/Tolls/Faxes</v>
      </c>
    </row>
    <row r="572" spans="1:11" ht="14.25" customHeight="1" x14ac:dyDescent="0.2">
      <c r="A572" s="144">
        <v>39430</v>
      </c>
      <c r="C572" s="143">
        <f>HLOOKUP("start",ESLData!E$1:E$9960,MATCH($A572,ESLData!$B$1:$B$9960,0))</f>
        <v>320.25</v>
      </c>
      <c r="E572" s="143">
        <f>HLOOKUP("start",ESLData!F$1:F$9960,MATCH($A572,ESLData!$B$1:$B$9960,0))</f>
        <v>500</v>
      </c>
      <c r="G572" s="143">
        <f>HLOOKUP("start",ESLData!H$1:H$9960,MATCH($A572,ESLData!$B$1:$B$9960,0))</f>
        <v>488.86</v>
      </c>
      <c r="J572" s="156" t="s">
        <v>987</v>
      </c>
      <c r="K572" s="142" t="str">
        <f>IF(ISNA(HLOOKUP("start",ESLData!C$1:C$9960,MATCH($A572,ESLData!$B$1:$B$9960,0))),"",HLOOKUP("start",ESLData!C$1:C$9960,MATCH($A572,ESLData!$B$1:$B$9960,0)))</f>
        <v>Otago - Printing/Stationery</v>
      </c>
    </row>
    <row r="573" spans="1:11" ht="14.25" customHeight="1" x14ac:dyDescent="0.2">
      <c r="A573" s="144">
        <v>39435</v>
      </c>
      <c r="C573" s="143">
        <f>HLOOKUP("start",ESLData!E$1:E$9960,MATCH($A573,ESLData!$B$1:$B$9960,0))</f>
        <v>1472.36</v>
      </c>
      <c r="E573" s="143">
        <f>HLOOKUP("start",ESLData!F$1:F$9960,MATCH($A573,ESLData!$B$1:$B$9960,0))</f>
        <v>1500</v>
      </c>
      <c r="G573" s="143">
        <f>HLOOKUP("start",ESLData!H$1:H$9960,MATCH($A573,ESLData!$B$1:$B$9960,0))</f>
        <v>1141.24</v>
      </c>
      <c r="J573" s="156" t="s">
        <v>987</v>
      </c>
      <c r="K573" s="142" t="str">
        <f>IF(ISNA(HLOOKUP("start",ESLData!C$1:C$9960,MATCH($A573,ESLData!$B$1:$B$9960,0))),"",HLOOKUP("start",ESLData!C$1:C$9960,MATCH($A573,ESLData!$B$1:$B$9960,0)))</f>
        <v>Otago - Consumables</v>
      </c>
    </row>
    <row r="574" spans="1:11" ht="14.25" customHeight="1" x14ac:dyDescent="0.2">
      <c r="A574" s="144">
        <v>39440</v>
      </c>
      <c r="C574" s="143">
        <f>HLOOKUP("start",ESLData!E$1:E$9960,MATCH($A574,ESLData!$B$1:$B$9960,0))</f>
        <v>0</v>
      </c>
      <c r="E574" s="143">
        <f>HLOOKUP("start",ESLData!F$1:F$9960,MATCH($A574,ESLData!$B$1:$B$9960,0))</f>
        <v>0</v>
      </c>
      <c r="G574" s="143">
        <f>HLOOKUP("start",ESLData!H$1:H$9960,MATCH($A574,ESLData!$B$1:$B$9960,0))</f>
        <v>0</v>
      </c>
      <c r="J574" s="156" t="s">
        <v>987</v>
      </c>
      <c r="K574" s="142" t="str">
        <f>IF(ISNA(HLOOKUP("start",ESLData!C$1:C$9960,MATCH($A574,ESLData!$B$1:$B$9960,0))),"",HLOOKUP("start",ESLData!C$1:C$9960,MATCH($A574,ESLData!$B$1:$B$9960,0)))</f>
        <v>Otago - Publications</v>
      </c>
    </row>
    <row r="575" spans="1:11" ht="14.25" customHeight="1" x14ac:dyDescent="0.2">
      <c r="A575" s="144">
        <v>39450</v>
      </c>
      <c r="C575" s="143">
        <f>HLOOKUP("start",ESLData!E$1:E$9960,MATCH($A575,ESLData!$B$1:$B$9960,0))</f>
        <v>0</v>
      </c>
      <c r="E575" s="143">
        <f>HLOOKUP("start",ESLData!F$1:F$9960,MATCH($A575,ESLData!$B$1:$B$9960,0))</f>
        <v>0</v>
      </c>
      <c r="G575" s="143">
        <f>HLOOKUP("start",ESLData!H$1:H$9960,MATCH($A575,ESLData!$B$1:$B$9960,0))</f>
        <v>52.17</v>
      </c>
      <c r="J575" s="156" t="s">
        <v>987</v>
      </c>
      <c r="K575" s="142" t="str">
        <f>IF(ISNA(HLOOKUP("start",ESLData!C$1:C$9960,MATCH($A575,ESLData!$B$1:$B$9960,0))),"",HLOOKUP("start",ESLData!C$1:C$9960,MATCH($A575,ESLData!$B$1:$B$9960,0)))</f>
        <v>Otago - Subs/Membership Fees</v>
      </c>
    </row>
    <row r="576" spans="1:11" ht="14.25" customHeight="1" x14ac:dyDescent="0.2">
      <c r="A576" s="144">
        <v>39465</v>
      </c>
      <c r="C576" s="143">
        <f>HLOOKUP("start",ESLData!E$1:E$9960,MATCH($A576,ESLData!$B$1:$B$9960,0))</f>
        <v>1933.61</v>
      </c>
      <c r="E576" s="143">
        <f>HLOOKUP("start",ESLData!F$1:F$9960,MATCH($A576,ESLData!$B$1:$B$9960,0))</f>
        <v>1500</v>
      </c>
      <c r="G576" s="143">
        <f>HLOOKUP("start",ESLData!H$1:H$9960,MATCH($A576,ESLData!$B$1:$B$9960,0))</f>
        <v>1510.92</v>
      </c>
      <c r="J576" s="156" t="s">
        <v>987</v>
      </c>
      <c r="K576" s="142" t="str">
        <f>IF(ISNA(HLOOKUP("start",ESLData!C$1:C$9960,MATCH($A576,ESLData!$B$1:$B$9960,0))),"",HLOOKUP("start",ESLData!C$1:C$9960,MATCH($A576,ESLData!$B$1:$B$9960,0)))</f>
        <v>Otago - Photocopying</v>
      </c>
    </row>
    <row r="577" spans="1:11" ht="14.25" customHeight="1" x14ac:dyDescent="0.2">
      <c r="A577" s="144">
        <v>39470</v>
      </c>
      <c r="C577" s="143">
        <f>HLOOKUP("start",ESLData!E$1:E$9960,MATCH($A577,ESLData!$B$1:$B$9960,0))</f>
        <v>62.17</v>
      </c>
      <c r="E577" s="143">
        <f>HLOOKUP("start",ESLData!F$1:F$9960,MATCH($A577,ESLData!$B$1:$B$9960,0))</f>
        <v>200</v>
      </c>
      <c r="G577" s="143">
        <f>HLOOKUP("start",ESLData!H$1:H$9960,MATCH($A577,ESLData!$B$1:$B$9960,0))</f>
        <v>33.83</v>
      </c>
      <c r="J577" s="156" t="s">
        <v>987</v>
      </c>
      <c r="K577" s="142" t="str">
        <f>IF(ISNA(HLOOKUP("start",ESLData!C$1:C$9960,MATCH($A577,ESLData!$B$1:$B$9960,0))),"",HLOOKUP("start",ESLData!C$1:C$9960,MATCH($A577,ESLData!$B$1:$B$9960,0)))</f>
        <v>Otago - DOM Expenses</v>
      </c>
    </row>
    <row r="578" spans="1:11" ht="14.25" customHeight="1" x14ac:dyDescent="0.2">
      <c r="A578" s="144">
        <v>39510</v>
      </c>
      <c r="C578" s="143">
        <f>HLOOKUP("start",ESLData!E$1:E$9960,MATCH($A578,ESLData!$B$1:$B$9960,0))</f>
        <v>5001.58</v>
      </c>
      <c r="E578" s="143">
        <f>HLOOKUP("start",ESLData!F$1:F$9960,MATCH($A578,ESLData!$B$1:$B$9960,0))</f>
        <v>2500</v>
      </c>
      <c r="G578" s="143">
        <f>HLOOKUP("start",ESLData!H$1:H$9960,MATCH($A578,ESLData!$B$1:$B$9960,0))</f>
        <v>1655.85</v>
      </c>
      <c r="J578" s="156" t="s">
        <v>987</v>
      </c>
      <c r="K578" s="142" t="str">
        <f>IF(ISNA(HLOOKUP("start",ESLData!C$1:C$9960,MATCH($A578,ESLData!$B$1:$B$9960,0))),"",HLOOKUP("start",ESLData!C$1:C$9960,MATCH($A578,ESLData!$B$1:$B$9960,0)))</f>
        <v>Staff Travel &amp; Accommodation</v>
      </c>
    </row>
    <row r="579" spans="1:11" ht="14.25" customHeight="1" x14ac:dyDescent="0.2">
      <c r="A579" s="144">
        <v>39520</v>
      </c>
      <c r="C579" s="143">
        <f>HLOOKUP("start",ESLData!E$1:E$9960,MATCH($A579,ESLData!$B$1:$B$9960,0))</f>
        <v>2989.16</v>
      </c>
      <c r="E579" s="143">
        <f>HLOOKUP("start",ESLData!F$1:F$9960,MATCH($A579,ESLData!$B$1:$B$9960,0))</f>
        <v>4500</v>
      </c>
      <c r="G579" s="143">
        <f>HLOOKUP("start",ESLData!H$1:H$9960,MATCH($A579,ESLData!$B$1:$B$9960,0))</f>
        <v>3464.08</v>
      </c>
      <c r="J579" s="156" t="s">
        <v>987</v>
      </c>
      <c r="K579" s="142" t="str">
        <f>IF(ISNA(HLOOKUP("start",ESLData!C$1:C$9960,MATCH($A579,ESLData!$B$1:$B$9960,0))),"",HLOOKUP("start",ESLData!C$1:C$9960,MATCH($A579,ESLData!$B$1:$B$9960,0)))</f>
        <v>Petrol</v>
      </c>
    </row>
    <row r="580" spans="1:11" ht="14.25" customHeight="1" x14ac:dyDescent="0.2">
      <c r="A580" s="144">
        <v>40010</v>
      </c>
      <c r="C580" s="143">
        <f>HLOOKUP("start",ESLData!E$1:E$9960,MATCH($A580,ESLData!$B$1:$B$9960,0))</f>
        <v>20179.13</v>
      </c>
      <c r="E580" s="143">
        <f>HLOOKUP("start",ESLData!F$1:F$9960,MATCH($A580,ESLData!$B$1:$B$9960,0))</f>
        <v>35000</v>
      </c>
      <c r="G580" s="143">
        <f>HLOOKUP("start",ESLData!H$1:H$9960,MATCH($A580,ESLData!$B$1:$B$9960,0))</f>
        <v>0</v>
      </c>
      <c r="J580" s="156"/>
      <c r="K580" s="142" t="str">
        <f>IF(ISNA(HLOOKUP("start",ESLData!C$1:C$9960,MATCH($A580,ESLData!$B$1:$B$9960,0))),"",HLOOKUP("start",ESLData!C$1:C$9960,MATCH($A580,ESLData!$B$1:$B$9960,0)))</f>
        <v>Library Materials</v>
      </c>
    </row>
    <row r="581" spans="1:11" ht="14.25" customHeight="1" x14ac:dyDescent="0.2">
      <c r="A581" s="144">
        <v>40011</v>
      </c>
      <c r="C581" s="143">
        <f>HLOOKUP("start",ESLData!E$1:E$9960,MATCH($A581,ESLData!$B$1:$B$9960,0))</f>
        <v>2361.35</v>
      </c>
      <c r="E581" s="143">
        <f>HLOOKUP("start",ESLData!F$1:F$9960,MATCH($A581,ESLData!$B$1:$B$9960,0))</f>
        <v>2500</v>
      </c>
      <c r="G581" s="143">
        <f>HLOOKUP("start",ESLData!H$1:H$9960,MATCH($A581,ESLData!$B$1:$B$9960,0))</f>
        <v>0</v>
      </c>
      <c r="J581" s="156"/>
      <c r="K581" s="142" t="str">
        <f>IF(ISNA(HLOOKUP("start",ESLData!C$1:C$9960,MATCH($A581,ESLData!$B$1:$B$9960,0))),"",HLOOKUP("start",ESLData!C$1:C$9960,MATCH($A581,ESLData!$B$1:$B$9960,0)))</f>
        <v>Accessit Software</v>
      </c>
    </row>
    <row r="582" spans="1:11" ht="14.25" customHeight="1" x14ac:dyDescent="0.2">
      <c r="A582" s="144">
        <v>40012</v>
      </c>
      <c r="C582" s="143">
        <f>HLOOKUP("start",ESLData!E$1:E$9960,MATCH($A582,ESLData!$B$1:$B$9960,0))</f>
        <v>3375.68</v>
      </c>
      <c r="E582" s="143">
        <f>HLOOKUP("start",ESLData!F$1:F$9960,MATCH($A582,ESLData!$B$1:$B$9960,0))</f>
        <v>1000</v>
      </c>
      <c r="G582" s="143">
        <f>HLOOKUP("start",ESLData!H$1:H$9960,MATCH($A582,ESLData!$B$1:$B$9960,0))</f>
        <v>0</v>
      </c>
      <c r="J582" s="156"/>
      <c r="K582" s="142" t="str">
        <f>IF(ISNA(HLOOKUP("start",ESLData!C$1:C$9960,MATCH($A582,ESLData!$B$1:$B$9960,0))),"",HLOOKUP("start",ESLData!C$1:C$9960,MATCH($A582,ESLData!$B$1:$B$9960,0)))</f>
        <v>Office &amp; Library Supplies</v>
      </c>
    </row>
    <row r="583" spans="1:11" ht="14.25" customHeight="1" x14ac:dyDescent="0.2">
      <c r="A583" s="144">
        <v>40013</v>
      </c>
      <c r="C583" s="143">
        <f>HLOOKUP("start",ESLData!E$1:E$9960,MATCH($A583,ESLData!$B$1:$B$9960,0))</f>
        <v>467.84</v>
      </c>
      <c r="E583" s="143">
        <f>HLOOKUP("start",ESLData!F$1:F$9960,MATCH($A583,ESLData!$B$1:$B$9960,0))</f>
        <v>500</v>
      </c>
      <c r="G583" s="143">
        <f>HLOOKUP("start",ESLData!H$1:H$9960,MATCH($A583,ESLData!$B$1:$B$9960,0))</f>
        <v>0</v>
      </c>
      <c r="J583" s="156"/>
      <c r="K583" s="142" t="str">
        <f>IF(ISNA(HLOOKUP("start",ESLData!C$1:C$9960,MATCH($A583,ESLData!$B$1:$B$9960,0))),"",HLOOKUP("start",ESLData!C$1:C$9960,MATCH($A583,ESLData!$B$1:$B$9960,0)))</f>
        <v>Photocopying</v>
      </c>
    </row>
    <row r="584" spans="1:11" ht="14.25" customHeight="1" x14ac:dyDescent="0.2">
      <c r="A584" s="144">
        <v>40014</v>
      </c>
      <c r="C584" s="143">
        <f>HLOOKUP("start",ESLData!E$1:E$9960,MATCH($A584,ESLData!$B$1:$B$9960,0))</f>
        <v>16558.82</v>
      </c>
      <c r="E584" s="143">
        <f>HLOOKUP("start",ESLData!F$1:F$9960,MATCH($A584,ESLData!$B$1:$B$9960,0))</f>
        <v>2000</v>
      </c>
      <c r="G584" s="143">
        <f>HLOOKUP("start",ESLData!H$1:H$9960,MATCH($A584,ESLData!$B$1:$B$9960,0))</f>
        <v>0</v>
      </c>
      <c r="J584" s="156"/>
      <c r="K584" s="142" t="str">
        <f>IF(ISNA(HLOOKUP("start",ESLData!C$1:C$9960,MATCH($A584,ESLData!$B$1:$B$9960,0))),"",HLOOKUP("start",ESLData!C$1:C$9960,MATCH($A584,ESLData!$B$1:$B$9960,0)))</f>
        <v>Consumables</v>
      </c>
    </row>
    <row r="585" spans="1:11" ht="14.25" customHeight="1" x14ac:dyDescent="0.2">
      <c r="A585" s="144">
        <v>41010</v>
      </c>
      <c r="C585" s="143">
        <f>HLOOKUP("start",ESLData!E$1:E$9960,MATCH($A585,ESLData!$B$1:$B$9960,0))</f>
        <v>77017.070000000007</v>
      </c>
      <c r="E585" s="143">
        <f>HLOOKUP("start",ESLData!F$1:F$9960,MATCH($A585,ESLData!$B$1:$B$9960,0))</f>
        <v>28000</v>
      </c>
      <c r="G585" s="143">
        <f>HLOOKUP("start",ESLData!H$1:H$9960,MATCH($A585,ESLData!$B$1:$B$9960,0))</f>
        <v>0</v>
      </c>
      <c r="J585" s="156"/>
      <c r="K585" s="142" t="str">
        <f>IF(ISNA(HLOOKUP("start",ESLData!C$1:C$9960,MATCH($A585,ESLData!$B$1:$B$9960,0))),"",HLOOKUP("start",ESLData!C$1:C$9960,MATCH($A585,ESLData!$B$1:$B$9960,0)))</f>
        <v>AFM Materials</v>
      </c>
    </row>
    <row r="586" spans="1:11" ht="14.25" customHeight="1" x14ac:dyDescent="0.2">
      <c r="A586" s="144">
        <v>41011</v>
      </c>
      <c r="C586" s="143">
        <f>HLOOKUP("start",ESLData!E$1:E$9960,MATCH($A586,ESLData!$B$1:$B$9960,0))</f>
        <v>1120.1500000000001</v>
      </c>
      <c r="E586" s="143">
        <f>HLOOKUP("start",ESLData!F$1:F$9960,MATCH($A586,ESLData!$B$1:$B$9960,0))</f>
        <v>5000</v>
      </c>
      <c r="G586" s="143">
        <f>HLOOKUP("start",ESLData!H$1:H$9960,MATCH($A586,ESLData!$B$1:$B$9960,0))</f>
        <v>0</v>
      </c>
      <c r="J586" s="156"/>
      <c r="K586" s="142" t="str">
        <f>IF(ISNA(HLOOKUP("start",ESLData!C$1:C$9960,MATCH($A586,ESLData!$B$1:$B$9960,0))),"",HLOOKUP("start",ESLData!C$1:C$9960,MATCH($A586,ESLData!$B$1:$B$9960,0)))</f>
        <v>Large Print Photocopying</v>
      </c>
    </row>
    <row r="587" spans="1:11" ht="14.25" customHeight="1" x14ac:dyDescent="0.2">
      <c r="A587" s="144">
        <v>41012</v>
      </c>
      <c r="C587" s="143">
        <f>HLOOKUP("start",ESLData!E$1:E$9960,MATCH($A587,ESLData!$B$1:$B$9960,0))</f>
        <v>43.47</v>
      </c>
      <c r="E587" s="143">
        <f>HLOOKUP("start",ESLData!F$1:F$9960,MATCH($A587,ESLData!$B$1:$B$9960,0))</f>
        <v>2000</v>
      </c>
      <c r="G587" s="143">
        <f>HLOOKUP("start",ESLData!H$1:H$9960,MATCH($A587,ESLData!$B$1:$B$9960,0))</f>
        <v>0</v>
      </c>
      <c r="J587" s="156"/>
      <c r="K587" s="142" t="str">
        <f>IF(ISNA(HLOOKUP("start",ESLData!C$1:C$9960,MATCH($A587,ESLData!$B$1:$B$9960,0))),"",HLOOKUP("start",ESLData!C$1:C$9960,MATCH($A587,ESLData!$B$1:$B$9960,0)))</f>
        <v>Tactile Materials</v>
      </c>
    </row>
    <row r="588" spans="1:11" ht="14.25" customHeight="1" x14ac:dyDescent="0.2">
      <c r="A588" s="144">
        <v>41013</v>
      </c>
      <c r="C588" s="143">
        <f>HLOOKUP("start",ESLData!E$1:E$9960,MATCH($A588,ESLData!$B$1:$B$9960,0))</f>
        <v>21039.05</v>
      </c>
      <c r="E588" s="143">
        <f>HLOOKUP("start",ESLData!F$1:F$9960,MATCH($A588,ESLData!$B$1:$B$9960,0))</f>
        <v>14000</v>
      </c>
      <c r="G588" s="143">
        <f>HLOOKUP("start",ESLData!H$1:H$9960,MATCH($A588,ESLData!$B$1:$B$9960,0))</f>
        <v>0</v>
      </c>
      <c r="J588" s="156"/>
      <c r="K588" s="142" t="str">
        <f>IF(ISNA(HLOOKUP("start",ESLData!C$1:C$9960,MATCH($A588,ESLData!$B$1:$B$9960,0))),"",HLOOKUP("start",ESLData!C$1:C$9960,MATCH($A588,ESLData!$B$1:$B$9960,0)))</f>
        <v>Software Licenses</v>
      </c>
    </row>
    <row r="589" spans="1:11" ht="14.25" customHeight="1" x14ac:dyDescent="0.2">
      <c r="A589" s="144">
        <v>46665</v>
      </c>
      <c r="C589" s="143">
        <f>HLOOKUP("start",ESLData!E$1:E$9960,MATCH($A589,ESLData!$B$1:$B$9960,0))</f>
        <v>0</v>
      </c>
      <c r="E589" s="143">
        <f>HLOOKUP("start",ESLData!F$1:F$9960,MATCH($A589,ESLData!$B$1:$B$9960,0))</f>
        <v>0</v>
      </c>
      <c r="G589" s="143">
        <f>HLOOKUP("start",ESLData!H$1:H$9960,MATCH($A589,ESLData!$B$1:$B$9960,0))</f>
        <v>0</v>
      </c>
      <c r="J589" s="156" t="s">
        <v>987</v>
      </c>
      <c r="K589" s="142" t="str">
        <f>IF(ISNA(HLOOKUP("start",ESLData!C$1:C$9960,MATCH($A589,ESLData!$B$1:$B$9960,0))),"",HLOOKUP("start",ESLData!C$1:C$9960,MATCH($A589,ESLData!$B$1:$B$9960,0)))</f>
        <v>Community Consultation</v>
      </c>
    </row>
    <row r="590" spans="1:11" ht="14.25" customHeight="1" x14ac:dyDescent="0.2">
      <c r="A590" s="144">
        <v>46888</v>
      </c>
      <c r="C590" s="143">
        <f>HLOOKUP("start",ESLData!E$1:E$9960,MATCH($A590,ESLData!$B$1:$B$9960,0))</f>
        <v>0</v>
      </c>
      <c r="E590" s="143">
        <f>HLOOKUP("start",ESLData!F$1:F$9960,MATCH($A590,ESLData!$B$1:$B$9960,0))</f>
        <v>0</v>
      </c>
      <c r="G590" s="143">
        <f>HLOOKUP("start",ESLData!H$1:H$9960,MATCH($A590,ESLData!$B$1:$B$9960,0))</f>
        <v>0</v>
      </c>
      <c r="J590" s="156" t="s">
        <v>987</v>
      </c>
      <c r="K590" s="142" t="str">
        <f>IF(ISNA(HLOOKUP("start",ESLData!C$1:C$9960,MATCH($A590,ESLData!$B$1:$B$9960,0))),"",HLOOKUP("start",ESLData!C$1:C$9960,MATCH($A590,ESLData!$B$1:$B$9960,0)))</f>
        <v>Pedagogy 1</v>
      </c>
    </row>
    <row r="591" spans="1:11" ht="14.25" customHeight="1" x14ac:dyDescent="0.2">
      <c r="A591" s="144">
        <v>46889</v>
      </c>
      <c r="C591" s="143">
        <f>HLOOKUP("start",ESLData!E$1:E$9960,MATCH($A591,ESLData!$B$1:$B$9960,0))</f>
        <v>0</v>
      </c>
      <c r="E591" s="143">
        <f>HLOOKUP("start",ESLData!F$1:F$9960,MATCH($A591,ESLData!$B$1:$B$9960,0))</f>
        <v>0</v>
      </c>
      <c r="G591" s="143">
        <f>HLOOKUP("start",ESLData!H$1:H$9960,MATCH($A591,ESLData!$B$1:$B$9960,0))</f>
        <v>0</v>
      </c>
      <c r="J591" s="156" t="s">
        <v>987</v>
      </c>
      <c r="K591" s="142" t="str">
        <f>IF(ISNA(HLOOKUP("start",ESLData!C$1:C$9960,MATCH($A591,ESLData!$B$1:$B$9960,0))),"",HLOOKUP("start",ESLData!C$1:C$9960,MATCH($A591,ESLData!$B$1:$B$9960,0)))</f>
        <v>Pedagogy 2</v>
      </c>
    </row>
    <row r="592" spans="1:11" ht="14.25" customHeight="1" x14ac:dyDescent="0.2">
      <c r="A592" s="144">
        <v>46890</v>
      </c>
      <c r="C592" s="143">
        <f>HLOOKUP("start",ESLData!E$1:E$9960,MATCH($A592,ESLData!$B$1:$B$9960,0))</f>
        <v>0</v>
      </c>
      <c r="E592" s="143">
        <f>HLOOKUP("start",ESLData!F$1:F$9960,MATCH($A592,ESLData!$B$1:$B$9960,0))</f>
        <v>0</v>
      </c>
      <c r="G592" s="143">
        <f>HLOOKUP("start",ESLData!H$1:H$9960,MATCH($A592,ESLData!$B$1:$B$9960,0))</f>
        <v>0</v>
      </c>
      <c r="J592" s="156" t="s">
        <v>987</v>
      </c>
      <c r="K592" s="142" t="str">
        <f>IF(ISNA(HLOOKUP("start",ESLData!C$1:C$9960,MATCH($A592,ESLData!$B$1:$B$9960,0))),"",HLOOKUP("start",ESLData!C$1:C$9960,MATCH($A592,ESLData!$B$1:$B$9960,0)))</f>
        <v>Pedagogy 3</v>
      </c>
    </row>
    <row r="593" spans="1:11" ht="14.25" customHeight="1" x14ac:dyDescent="0.2">
      <c r="A593" s="144">
        <v>46891</v>
      </c>
      <c r="C593" s="143">
        <f>HLOOKUP("start",ESLData!E$1:E$9960,MATCH($A593,ESLData!$B$1:$B$9960,0))</f>
        <v>5739.19</v>
      </c>
      <c r="E593" s="143">
        <f>HLOOKUP("start",ESLData!F$1:F$9960,MATCH($A593,ESLData!$B$1:$B$9960,0))</f>
        <v>8900</v>
      </c>
      <c r="G593" s="143">
        <f>HLOOKUP("start",ESLData!H$1:H$9960,MATCH($A593,ESLData!$B$1:$B$9960,0))</f>
        <v>26.08</v>
      </c>
      <c r="J593" s="156" t="s">
        <v>987</v>
      </c>
      <c r="K593" s="142" t="str">
        <f>IF(ISNA(HLOOKUP("start",ESLData!C$1:C$9960,MATCH($A593,ESLData!$B$1:$B$9960,0))),"",HLOOKUP("start",ESLData!C$1:C$9960,MATCH($A593,ESLData!$B$1:$B$9960,0)))</f>
        <v>Pedagogy 4</v>
      </c>
    </row>
    <row r="594" spans="1:11" ht="14.25" customHeight="1" x14ac:dyDescent="0.2">
      <c r="A594" s="144">
        <v>46892</v>
      </c>
      <c r="C594" s="143">
        <f>HLOOKUP("start",ESLData!E$1:E$9960,MATCH($A594,ESLData!$B$1:$B$9960,0))</f>
        <v>0</v>
      </c>
      <c r="E594" s="143">
        <f>HLOOKUP("start",ESLData!F$1:F$9960,MATCH($A594,ESLData!$B$1:$B$9960,0))</f>
        <v>0</v>
      </c>
      <c r="G594" s="143">
        <f>HLOOKUP("start",ESLData!H$1:H$9960,MATCH($A594,ESLData!$B$1:$B$9960,0))</f>
        <v>0</v>
      </c>
      <c r="J594" s="156" t="s">
        <v>987</v>
      </c>
      <c r="K594" s="142" t="str">
        <f>IF(ISNA(HLOOKUP("start",ESLData!C$1:C$9960,MATCH($A594,ESLData!$B$1:$B$9960,0))),"",HLOOKUP("start",ESLData!C$1:C$9960,MATCH($A594,ESLData!$B$1:$B$9960,0)))</f>
        <v>Pedagogy 5</v>
      </c>
    </row>
    <row r="595" spans="1:11" ht="14.25" customHeight="1" x14ac:dyDescent="0.2">
      <c r="A595" s="144">
        <v>46893</v>
      </c>
      <c r="C595" s="143">
        <f>HLOOKUP("start",ESLData!E$1:E$9960,MATCH($A595,ESLData!$B$1:$B$9960,0))</f>
        <v>0</v>
      </c>
      <c r="E595" s="143">
        <f>HLOOKUP("start",ESLData!F$1:F$9960,MATCH($A595,ESLData!$B$1:$B$9960,0))</f>
        <v>0</v>
      </c>
      <c r="G595" s="143">
        <f>HLOOKUP("start",ESLData!H$1:H$9960,MATCH($A595,ESLData!$B$1:$B$9960,0))</f>
        <v>0</v>
      </c>
      <c r="J595" s="156" t="s">
        <v>987</v>
      </c>
      <c r="K595" s="142" t="str">
        <f>IF(ISNA(HLOOKUP("start",ESLData!C$1:C$9960,MATCH($A595,ESLData!$B$1:$B$9960,0))),"",HLOOKUP("start",ESLData!C$1:C$9960,MATCH($A595,ESLData!$B$1:$B$9960,0)))</f>
        <v>Pedagogy 6</v>
      </c>
    </row>
    <row r="596" spans="1:11" ht="14.25" customHeight="1" x14ac:dyDescent="0.2">
      <c r="A596" s="144">
        <v>46894</v>
      </c>
      <c r="C596" s="143">
        <f>HLOOKUP("start",ESLData!E$1:E$9960,MATCH($A596,ESLData!$B$1:$B$9960,0))</f>
        <v>0</v>
      </c>
      <c r="E596" s="143">
        <f>HLOOKUP("start",ESLData!F$1:F$9960,MATCH($A596,ESLData!$B$1:$B$9960,0))</f>
        <v>0</v>
      </c>
      <c r="G596" s="143">
        <f>HLOOKUP("start",ESLData!H$1:H$9960,MATCH($A596,ESLData!$B$1:$B$9960,0))</f>
        <v>0</v>
      </c>
      <c r="J596" s="156" t="s">
        <v>987</v>
      </c>
      <c r="K596" s="142" t="str">
        <f>IF(ISNA(HLOOKUP("start",ESLData!C$1:C$9960,MATCH($A596,ESLData!$B$1:$B$9960,0))),"",HLOOKUP("start",ESLData!C$1:C$9960,MATCH($A596,ESLData!$B$1:$B$9960,0)))</f>
        <v>Pedagogy 7</v>
      </c>
    </row>
    <row r="597" spans="1:11" ht="14.25" customHeight="1" x14ac:dyDescent="0.2">
      <c r="A597" s="144">
        <v>46895</v>
      </c>
      <c r="C597" s="143">
        <f>HLOOKUP("start",ESLData!E$1:E$9960,MATCH($A597,ESLData!$B$1:$B$9960,0))</f>
        <v>324.75</v>
      </c>
      <c r="E597" s="143">
        <f>HLOOKUP("start",ESLData!F$1:F$9960,MATCH($A597,ESLData!$B$1:$B$9960,0))</f>
        <v>0</v>
      </c>
      <c r="G597" s="143">
        <f>HLOOKUP("start",ESLData!H$1:H$9960,MATCH($A597,ESLData!$B$1:$B$9960,0))</f>
        <v>0</v>
      </c>
      <c r="J597" s="156" t="s">
        <v>987</v>
      </c>
      <c r="K597" s="142" t="str">
        <f>IF(ISNA(HLOOKUP("start",ESLData!C$1:C$9960,MATCH($A597,ESLData!$B$1:$B$9960,0))),"",HLOOKUP("start",ESLData!C$1:C$9960,MATCH($A597,ESLData!$B$1:$B$9960,0)))</f>
        <v>Pedagogy 8</v>
      </c>
    </row>
    <row r="598" spans="1:11" ht="14.25" customHeight="1" x14ac:dyDescent="0.2">
      <c r="A598" s="144">
        <v>46896</v>
      </c>
      <c r="C598" s="143">
        <f>HLOOKUP("start",ESLData!E$1:E$9960,MATCH($A598,ESLData!$B$1:$B$9960,0))</f>
        <v>0</v>
      </c>
      <c r="E598" s="143">
        <f>HLOOKUP("start",ESLData!F$1:F$9960,MATCH($A598,ESLData!$B$1:$B$9960,0))</f>
        <v>0</v>
      </c>
      <c r="G598" s="143">
        <f>HLOOKUP("start",ESLData!H$1:H$9960,MATCH($A598,ESLData!$B$1:$B$9960,0))</f>
        <v>0</v>
      </c>
      <c r="J598" s="156"/>
      <c r="K598" s="142" t="str">
        <f>IF(ISNA(HLOOKUP("start",ESLData!C$1:C$9960,MATCH($A598,ESLData!$B$1:$B$9960,0))),"",HLOOKUP("start",ESLData!C$1:C$9960,MATCH($A598,ESLData!$B$1:$B$9960,0)))</f>
        <v>Pedagogy 9</v>
      </c>
    </row>
    <row r="599" spans="1:11" ht="14.25" customHeight="1" x14ac:dyDescent="0.2">
      <c r="A599" s="144">
        <v>46897</v>
      </c>
      <c r="C599" s="143">
        <f>HLOOKUP("start",ESLData!E$1:E$9960,MATCH($A599,ESLData!$B$1:$B$9960,0))</f>
        <v>6752.7</v>
      </c>
      <c r="E599" s="143">
        <f>HLOOKUP("start",ESLData!F$1:F$9960,MATCH($A599,ESLData!$B$1:$B$9960,0))</f>
        <v>9900</v>
      </c>
      <c r="G599" s="143">
        <f>HLOOKUP("start",ESLData!H$1:H$9960,MATCH($A599,ESLData!$B$1:$B$9960,0))</f>
        <v>5565.22</v>
      </c>
      <c r="J599" s="156"/>
      <c r="K599" s="142" t="str">
        <f>IF(ISNA(HLOOKUP("start",ESLData!C$1:C$9960,MATCH($A599,ESLData!$B$1:$B$9960,0))),"",HLOOKUP("start",ESLData!C$1:C$9960,MATCH($A599,ESLData!$B$1:$B$9960,0)))</f>
        <v>Pedagogy 10</v>
      </c>
    </row>
    <row r="600" spans="1:11" ht="14.25" customHeight="1" x14ac:dyDescent="0.2">
      <c r="A600" s="144">
        <v>60200</v>
      </c>
      <c r="C600" s="143">
        <f>HLOOKUP("start",ESLData!E$1:E$9960,MATCH($A600,ESLData!$B$1:$B$9960,0))</f>
        <v>13207.81</v>
      </c>
      <c r="E600" s="143">
        <f>HLOOKUP("start",ESLData!F$1:F$9960,MATCH($A600,ESLData!$B$1:$B$9960,0))</f>
        <v>20000</v>
      </c>
      <c r="G600" s="143">
        <f>HLOOKUP("start",ESLData!H$1:H$9960,MATCH($A600,ESLData!$B$1:$B$9960,0))</f>
        <v>1773.04</v>
      </c>
      <c r="J600" s="156" t="s">
        <v>987</v>
      </c>
      <c r="K600" s="142" t="str">
        <f>IF(ISNA(HLOOKUP("start",ESLData!C$1:C$9960,MATCH($A600,ESLData!$B$1:$B$9960,0))),"",HLOOKUP("start",ESLData!C$1:C$9960,MATCH($A600,ESLData!$B$1:$B$9960,0)))</f>
        <v>Regional ORS Therapy</v>
      </c>
    </row>
    <row r="601" spans="1:11" ht="14.25" customHeight="1" x14ac:dyDescent="0.2">
      <c r="A601" s="144">
        <v>60400</v>
      </c>
      <c r="C601" s="143">
        <f>HLOOKUP("start",ESLData!E$1:E$9960,MATCH($A601,ESLData!$B$1:$B$9960,0))</f>
        <v>7159.63</v>
      </c>
      <c r="E601" s="143">
        <f>HLOOKUP("start",ESLData!F$1:F$9960,MATCH($A601,ESLData!$B$1:$B$9960,0))</f>
        <v>7500</v>
      </c>
      <c r="G601" s="143">
        <f>HLOOKUP("start",ESLData!H$1:H$9960,MATCH($A601,ESLData!$B$1:$B$9960,0))</f>
        <v>7224.5</v>
      </c>
      <c r="J601" s="156" t="s">
        <v>987</v>
      </c>
      <c r="K601" s="142" t="str">
        <f>IF(ISNA(HLOOKUP("start",ESLData!C$1:C$9960,MATCH($A601,ESLData!$B$1:$B$9960,0))),"",HLOOKUP("start",ESLData!C$1:C$9960,MATCH($A601,ESLData!$B$1:$B$9960,0)))</f>
        <v>Telephone/Tolls/Fax</v>
      </c>
    </row>
    <row r="602" spans="1:11" ht="14.25" customHeight="1" x14ac:dyDescent="0.2">
      <c r="A602" s="144">
        <v>60450</v>
      </c>
      <c r="C602" s="143">
        <f>HLOOKUP("start",ESLData!E$1:E$9960,MATCH($A602,ESLData!$B$1:$B$9960,0))</f>
        <v>111.9</v>
      </c>
      <c r="E602" s="143">
        <f>HLOOKUP("start",ESLData!F$1:F$9960,MATCH($A602,ESLData!$B$1:$B$9960,0))</f>
        <v>500</v>
      </c>
      <c r="G602" s="143">
        <f>HLOOKUP("start",ESLData!H$1:H$9960,MATCH($A602,ESLData!$B$1:$B$9960,0))</f>
        <v>292.10000000000002</v>
      </c>
      <c r="J602" s="156" t="s">
        <v>987</v>
      </c>
      <c r="K602" s="142" t="str">
        <f>IF(ISNA(HLOOKUP("start",ESLData!C$1:C$9960,MATCH($A602,ESLData!$B$1:$B$9960,0))),"",HLOOKUP("start",ESLData!C$1:C$9960,MATCH($A602,ESLData!$B$1:$B$9960,0)))</f>
        <v>Photocopying</v>
      </c>
    </row>
    <row r="603" spans="1:11" ht="14.25" customHeight="1" x14ac:dyDescent="0.2">
      <c r="A603" s="144">
        <v>60500</v>
      </c>
      <c r="C603" s="143">
        <f>HLOOKUP("start",ESLData!E$1:E$9960,MATCH($A603,ESLData!$B$1:$B$9960,0))</f>
        <v>18.260000000000002</v>
      </c>
      <c r="E603" s="143">
        <f>HLOOKUP("start",ESLData!F$1:F$9960,MATCH($A603,ESLData!$B$1:$B$9960,0))</f>
        <v>600</v>
      </c>
      <c r="G603" s="143">
        <f>HLOOKUP("start",ESLData!H$1:H$9960,MATCH($A603,ESLData!$B$1:$B$9960,0))</f>
        <v>169.08</v>
      </c>
      <c r="J603" s="156" t="s">
        <v>987</v>
      </c>
      <c r="K603" s="142" t="str">
        <f>IF(ISNA(HLOOKUP("start",ESLData!C$1:C$9960,MATCH($A603,ESLData!$B$1:$B$9960,0))),"",HLOOKUP("start",ESLData!C$1:C$9960,MATCH($A603,ESLData!$B$1:$B$9960,0)))</f>
        <v>Printing/Stationery</v>
      </c>
    </row>
    <row r="604" spans="1:11" ht="14.25" customHeight="1" x14ac:dyDescent="0.2">
      <c r="A604" s="144">
        <v>60550</v>
      </c>
      <c r="C604" s="143">
        <f>HLOOKUP("start",ESLData!E$1:E$9960,MATCH($A604,ESLData!$B$1:$B$9960,0))</f>
        <v>-314.02</v>
      </c>
      <c r="E604" s="143">
        <f>HLOOKUP("start",ESLData!F$1:F$9960,MATCH($A604,ESLData!$B$1:$B$9960,0))</f>
        <v>12000</v>
      </c>
      <c r="G604" s="143">
        <f>HLOOKUP("start",ESLData!H$1:H$9960,MATCH($A604,ESLData!$B$1:$B$9960,0))</f>
        <v>6943</v>
      </c>
      <c r="J604" s="156" t="s">
        <v>987</v>
      </c>
      <c r="K604" s="142" t="str">
        <f>IF(ISNA(HLOOKUP("start",ESLData!C$1:C$9960,MATCH($A604,ESLData!$B$1:$B$9960,0))),"",HLOOKUP("start",ESLData!C$1:C$9960,MATCH($A604,ESLData!$B$1:$B$9960,0)))</f>
        <v>Consumables</v>
      </c>
    </row>
    <row r="605" spans="1:11" ht="14.25" customHeight="1" x14ac:dyDescent="0.2">
      <c r="A605" s="144">
        <v>60551</v>
      </c>
      <c r="C605" s="143">
        <f>HLOOKUP("start",ESLData!E$1:E$9960,MATCH($A605,ESLData!$B$1:$B$9960,0))</f>
        <v>0</v>
      </c>
      <c r="E605" s="143">
        <f>HLOOKUP("start",ESLData!F$1:F$9960,MATCH($A605,ESLData!$B$1:$B$9960,0))</f>
        <v>1500</v>
      </c>
      <c r="G605" s="143">
        <f>HLOOKUP("start",ESLData!H$1:H$9960,MATCH($A605,ESLData!$B$1:$B$9960,0))</f>
        <v>2085.27</v>
      </c>
      <c r="J605" s="156" t="s">
        <v>987</v>
      </c>
      <c r="K605" s="142" t="str">
        <f>IF(ISNA(HLOOKUP("start",ESLData!C$1:C$9960,MATCH($A605,ESLData!$B$1:$B$9960,0))),"",HLOOKUP("start",ESLData!C$1:C$9960,MATCH($A605,ESLData!$B$1:$B$9960,0)))</f>
        <v>VRC Resources</v>
      </c>
    </row>
    <row r="606" spans="1:11" ht="14.25" customHeight="1" x14ac:dyDescent="0.2">
      <c r="A606" s="144">
        <v>60600</v>
      </c>
      <c r="C606" s="143">
        <f>HLOOKUP("start",ESLData!E$1:E$9960,MATCH($A606,ESLData!$B$1:$B$9960,0))</f>
        <v>251.27</v>
      </c>
      <c r="E606" s="143">
        <f>HLOOKUP("start",ESLData!F$1:F$9960,MATCH($A606,ESLData!$B$1:$B$9960,0))</f>
        <v>750</v>
      </c>
      <c r="G606" s="143">
        <f>HLOOKUP("start",ESLData!H$1:H$9960,MATCH($A606,ESLData!$B$1:$B$9960,0))</f>
        <v>417.57</v>
      </c>
      <c r="J606" s="156" t="s">
        <v>987</v>
      </c>
      <c r="K606" s="142" t="str">
        <f>IF(ISNA(HLOOKUP("start",ESLData!C$1:C$9960,MATCH($A606,ESLData!$B$1:$B$9960,0))),"",HLOOKUP("start",ESLData!C$1:C$9960,MATCH($A606,ESLData!$B$1:$B$9960,0)))</f>
        <v>Publications</v>
      </c>
    </row>
    <row r="607" spans="1:11" ht="14.25" customHeight="1" x14ac:dyDescent="0.2">
      <c r="A607" s="144">
        <v>60750</v>
      </c>
      <c r="C607" s="143">
        <f>HLOOKUP("start",ESLData!E$1:E$9960,MATCH($A607,ESLData!$B$1:$B$9960,0))</f>
        <v>3917.88</v>
      </c>
      <c r="E607" s="143">
        <f>HLOOKUP("start",ESLData!F$1:F$9960,MATCH($A607,ESLData!$B$1:$B$9960,0))</f>
        <v>4000</v>
      </c>
      <c r="G607" s="143">
        <f>HLOOKUP("start",ESLData!H$1:H$9960,MATCH($A607,ESLData!$B$1:$B$9960,0))</f>
        <v>2274.9299999999998</v>
      </c>
      <c r="J607" s="156" t="s">
        <v>987</v>
      </c>
      <c r="K607" s="142" t="str">
        <f>IF(ISNA(HLOOKUP("start",ESLData!C$1:C$9960,MATCH($A607,ESLData!$B$1:$B$9960,0))),"",HLOOKUP("start",ESLData!C$1:C$9960,MATCH($A607,ESLData!$B$1:$B$9960,0)))</f>
        <v>Team Meetings</v>
      </c>
    </row>
    <row r="608" spans="1:11" ht="14.25" customHeight="1" x14ac:dyDescent="0.2">
      <c r="A608" s="144">
        <v>60800</v>
      </c>
      <c r="C608" s="143">
        <f>HLOOKUP("start",ESLData!E$1:E$9960,MATCH($A608,ESLData!$B$1:$B$9960,0))</f>
        <v>2227.8000000000002</v>
      </c>
      <c r="E608" s="143">
        <f>HLOOKUP("start",ESLData!F$1:F$9960,MATCH($A608,ESLData!$B$1:$B$9960,0))</f>
        <v>7000</v>
      </c>
      <c r="G608" s="143">
        <f>HLOOKUP("start",ESLData!H$1:H$9960,MATCH($A608,ESLData!$B$1:$B$9960,0))</f>
        <v>10118.36</v>
      </c>
      <c r="J608" s="156" t="s">
        <v>987</v>
      </c>
      <c r="K608" s="142" t="str">
        <f>IF(ISNA(HLOOKUP("start",ESLData!C$1:C$9960,MATCH($A608,ESLData!$B$1:$B$9960,0))),"",HLOOKUP("start",ESLData!C$1:C$9960,MATCH($A608,ESLData!$B$1:$B$9960,0)))</f>
        <v>Co-Ordinator Travel/Accommodat</v>
      </c>
    </row>
    <row r="609" spans="1:11" ht="14.25" customHeight="1" x14ac:dyDescent="0.2">
      <c r="A609" s="144">
        <v>60805</v>
      </c>
      <c r="C609" s="143">
        <f>HLOOKUP("start",ESLData!E$1:E$9960,MATCH($A609,ESLData!$B$1:$B$9960,0))</f>
        <v>6326.64</v>
      </c>
      <c r="E609" s="143">
        <f>HLOOKUP("start",ESLData!F$1:F$9960,MATCH($A609,ESLData!$B$1:$B$9960,0))</f>
        <v>2500</v>
      </c>
      <c r="G609" s="143">
        <f>HLOOKUP("start",ESLData!H$1:H$9960,MATCH($A609,ESLData!$B$1:$B$9960,0))</f>
        <v>2047.61</v>
      </c>
      <c r="J609" s="156" t="s">
        <v>987</v>
      </c>
      <c r="K609" s="142" t="str">
        <f>IF(ISNA(HLOOKUP("start",ESLData!C$1:C$9960,MATCH($A609,ESLData!$B$1:$B$9960,0))),"",HLOOKUP("start",ESLData!C$1:C$9960,MATCH($A609,ESLData!$B$1:$B$9960,0)))</f>
        <v>O&amp;M Auckl/Northland Trav/Accom</v>
      </c>
    </row>
    <row r="610" spans="1:11" ht="14.25" customHeight="1" x14ac:dyDescent="0.2">
      <c r="A610" s="144">
        <v>60810</v>
      </c>
      <c r="C610" s="143">
        <f>HLOOKUP("start",ESLData!E$1:E$9960,MATCH($A610,ESLData!$B$1:$B$9960,0))</f>
        <v>7456.69</v>
      </c>
      <c r="E610" s="143">
        <f>HLOOKUP("start",ESLData!F$1:F$9960,MATCH($A610,ESLData!$B$1:$B$9960,0))</f>
        <v>5000</v>
      </c>
      <c r="G610" s="143">
        <f>HLOOKUP("start",ESLData!H$1:H$9960,MATCH($A610,ESLData!$B$1:$B$9960,0))</f>
        <v>3348.16</v>
      </c>
      <c r="J610" s="156" t="s">
        <v>987</v>
      </c>
      <c r="K610" s="142" t="str">
        <f>IF(ISNA(HLOOKUP("start",ESLData!C$1:C$9960,MATCH($A610,ESLData!$B$1:$B$9960,0))),"",HLOOKUP("start",ESLData!C$1:C$9960,MATCH($A610,ESLData!$B$1:$B$9960,0)))</f>
        <v>O&amp;M Middle Ni Travel/Accomodat</v>
      </c>
    </row>
    <row r="611" spans="1:11" ht="14.25" customHeight="1" x14ac:dyDescent="0.2">
      <c r="A611" s="144">
        <v>60815</v>
      </c>
      <c r="C611" s="143">
        <f>HLOOKUP("start",ESLData!E$1:E$9960,MATCH($A611,ESLData!$B$1:$B$9960,0))</f>
        <v>4892.28</v>
      </c>
      <c r="E611" s="143">
        <f>HLOOKUP("start",ESLData!F$1:F$9960,MATCH($A611,ESLData!$B$1:$B$9960,0))</f>
        <v>5000</v>
      </c>
      <c r="G611" s="143">
        <f>HLOOKUP("start",ESLData!H$1:H$9960,MATCH($A611,ESLData!$B$1:$B$9960,0))</f>
        <v>834.37</v>
      </c>
      <c r="J611" s="156" t="s">
        <v>987</v>
      </c>
      <c r="K611" s="142" t="str">
        <f>IF(ISNA(HLOOKUP("start",ESLData!C$1:C$9960,MATCH($A611,ESLData!$B$1:$B$9960,0))),"",HLOOKUP("start",ESLData!C$1:C$9960,MATCH($A611,ESLData!$B$1:$B$9960,0)))</f>
        <v>O&amp;M Lower Ni Travel/Accommodat</v>
      </c>
    </row>
    <row r="612" spans="1:11" ht="14.25" customHeight="1" x14ac:dyDescent="0.2">
      <c r="A612" s="144">
        <v>60820</v>
      </c>
      <c r="C612" s="143">
        <f>HLOOKUP("start",ESLData!E$1:E$9960,MATCH($A612,ESLData!$B$1:$B$9960,0))</f>
        <v>12050.33</v>
      </c>
      <c r="E612" s="143">
        <f>HLOOKUP("start",ESLData!F$1:F$9960,MATCH($A612,ESLData!$B$1:$B$9960,0))</f>
        <v>5500</v>
      </c>
      <c r="G612" s="143">
        <f>HLOOKUP("start",ESLData!H$1:H$9960,MATCH($A612,ESLData!$B$1:$B$9960,0))</f>
        <v>6167.11</v>
      </c>
      <c r="J612" s="156" t="s">
        <v>987</v>
      </c>
      <c r="K612" s="142" t="str">
        <f>IF(ISNA(HLOOKUP("start",ESLData!C$1:C$9960,MATCH($A612,ESLData!$B$1:$B$9960,0))),"",HLOOKUP("start",ESLData!C$1:C$9960,MATCH($A612,ESLData!$B$1:$B$9960,0)))</f>
        <v>O&amp;M Si Travel/Accommodation</v>
      </c>
    </row>
    <row r="613" spans="1:11" ht="14.25" customHeight="1" x14ac:dyDescent="0.2">
      <c r="A613" s="144">
        <v>60825</v>
      </c>
      <c r="C613" s="143">
        <f>HLOOKUP("start",ESLData!E$1:E$9960,MATCH($A613,ESLData!$B$1:$B$9960,0))</f>
        <v>10500</v>
      </c>
      <c r="E613" s="143">
        <f>HLOOKUP("start",ESLData!F$1:F$9960,MATCH($A613,ESLData!$B$1:$B$9960,0))</f>
        <v>10500</v>
      </c>
      <c r="G613" s="143">
        <f>HLOOKUP("start",ESLData!H$1:H$9960,MATCH($A613,ESLData!$B$1:$B$9960,0))</f>
        <v>11000</v>
      </c>
      <c r="J613" s="156" t="s">
        <v>987</v>
      </c>
      <c r="K613" s="142" t="str">
        <f>IF(ISNA(HLOOKUP("start",ESLData!C$1:C$9960,MATCH($A613,ESLData!$B$1:$B$9960,0))),"",HLOOKUP("start",ESLData!C$1:C$9960,MATCH($A613,ESLData!$B$1:$B$9960,0)))</f>
        <v>Leased Vehicles X 5</v>
      </c>
    </row>
    <row r="614" spans="1:11" ht="14.25" customHeight="1" x14ac:dyDescent="0.2">
      <c r="A614" s="144">
        <v>60826</v>
      </c>
      <c r="C614" s="143">
        <f>HLOOKUP("start",ESLData!E$1:E$9960,MATCH($A614,ESLData!$B$1:$B$9960,0))</f>
        <v>3214.32</v>
      </c>
      <c r="E614" s="143">
        <f>HLOOKUP("start",ESLData!F$1:F$9960,MATCH($A614,ESLData!$B$1:$B$9960,0))</f>
        <v>3100</v>
      </c>
      <c r="G614" s="143">
        <f>HLOOKUP("start",ESLData!H$1:H$9960,MATCH($A614,ESLData!$B$1:$B$9960,0))</f>
        <v>3109</v>
      </c>
      <c r="J614" s="156" t="s">
        <v>987</v>
      </c>
      <c r="K614" s="142" t="str">
        <f>IF(ISNA(HLOOKUP("start",ESLData!C$1:C$9960,MATCH($A614,ESLData!$B$1:$B$9960,0))),"",HLOOKUP("start",ESLData!C$1:C$9960,MATCH($A614,ESLData!$B$1:$B$9960,0)))</f>
        <v>Vehicle Insurance</v>
      </c>
    </row>
    <row r="615" spans="1:11" ht="14.25" customHeight="1" x14ac:dyDescent="0.2">
      <c r="A615" s="144">
        <v>60830</v>
      </c>
      <c r="C615" s="143">
        <f>HLOOKUP("start",ESLData!E$1:E$9960,MATCH($A615,ESLData!$B$1:$B$9960,0))</f>
        <v>2000</v>
      </c>
      <c r="E615" s="143">
        <f>HLOOKUP("start",ESLData!F$1:F$9960,MATCH($A615,ESLData!$B$1:$B$9960,0))</f>
        <v>2000</v>
      </c>
      <c r="G615" s="143">
        <f>HLOOKUP("start",ESLData!H$1:H$9960,MATCH($A615,ESLData!$B$1:$B$9960,0))</f>
        <v>2000</v>
      </c>
      <c r="J615" s="156" t="s">
        <v>987</v>
      </c>
      <c r="K615" s="142" t="str">
        <f>IF(ISNA(HLOOKUP("start",ESLData!C$1:C$9960,MATCH($A615,ESLData!$B$1:$B$9960,0))),"",HLOOKUP("start",ESLData!C$1:C$9960,MATCH($A615,ESLData!$B$1:$B$9960,0)))</f>
        <v>Petrol</v>
      </c>
    </row>
    <row r="616" spans="1:11" ht="14.25" customHeight="1" x14ac:dyDescent="0.2">
      <c r="A616" s="144">
        <v>60876</v>
      </c>
      <c r="C616" s="143">
        <f>HLOOKUP("start",ESLData!E$1:E$9960,MATCH($A616,ESLData!$B$1:$B$9960,0))</f>
        <v>274.55</v>
      </c>
      <c r="E616" s="143">
        <f>HLOOKUP("start",ESLData!F$1:F$9960,MATCH($A616,ESLData!$B$1:$B$9960,0))</f>
        <v>700</v>
      </c>
      <c r="G616" s="143">
        <f>HLOOKUP("start",ESLData!H$1:H$9960,MATCH($A616,ESLData!$B$1:$B$9960,0))</f>
        <v>599.64</v>
      </c>
      <c r="J616" s="156" t="s">
        <v>987</v>
      </c>
      <c r="K616" s="142" t="str">
        <f>IF(ISNA(HLOOKUP("start",ESLData!C$1:C$9960,MATCH($A616,ESLData!$B$1:$B$9960,0))),"",HLOOKUP("start",ESLData!C$1:C$9960,MATCH($A616,ESLData!$B$1:$B$9960,0)))</f>
        <v>Lesson Costs</v>
      </c>
    </row>
    <row r="617" spans="1:11" ht="14.25" customHeight="1" x14ac:dyDescent="0.2">
      <c r="A617" s="144">
        <v>61000</v>
      </c>
      <c r="C617" s="143">
        <f>HLOOKUP("start",ESLData!E$1:E$9960,MATCH($A617,ESLData!$B$1:$B$9960,0))</f>
        <v>-8889.6</v>
      </c>
      <c r="E617" s="143">
        <f>HLOOKUP("start",ESLData!F$1:F$9960,MATCH($A617,ESLData!$B$1:$B$9960,0))</f>
        <v>6000</v>
      </c>
      <c r="G617" s="143">
        <f>HLOOKUP("start",ESLData!H$1:H$9960,MATCH($A617,ESLData!$B$1:$B$9960,0))</f>
        <v>1241.32</v>
      </c>
      <c r="J617" s="156" t="s">
        <v>987</v>
      </c>
      <c r="K617" s="142" t="str">
        <f>IF(ISNA(HLOOKUP("start",ESLData!C$1:C$9960,MATCH($A617,ESLData!$B$1:$B$9960,0))),"",HLOOKUP("start",ESLData!C$1:C$9960,MATCH($A617,ESLData!$B$1:$B$9960,0)))</f>
        <v>Travel &amp; Accomodation</v>
      </c>
    </row>
    <row r="618" spans="1:11" ht="14.25" customHeight="1" x14ac:dyDescent="0.2">
      <c r="A618" s="144">
        <v>61200</v>
      </c>
      <c r="C618" s="143">
        <f>HLOOKUP("start",ESLData!E$1:E$9960,MATCH($A618,ESLData!$B$1:$B$9960,0))</f>
        <v>36.520000000000003</v>
      </c>
      <c r="E618" s="143">
        <f>HLOOKUP("start",ESLData!F$1:F$9960,MATCH($A618,ESLData!$B$1:$B$9960,0))</f>
        <v>1000</v>
      </c>
      <c r="G618" s="143">
        <f>HLOOKUP("start",ESLData!H$1:H$9960,MATCH($A618,ESLData!$B$1:$B$9960,0))</f>
        <v>842.42</v>
      </c>
      <c r="J618" s="156" t="s">
        <v>987</v>
      </c>
      <c r="K618" s="142" t="str">
        <f>IF(ISNA(HLOOKUP("start",ESLData!C$1:C$9960,MATCH($A618,ESLData!$B$1:$B$9960,0))),"",HLOOKUP("start",ESLData!C$1:C$9960,MATCH($A618,ESLData!$B$1:$B$9960,0)))</f>
        <v>Course Materials</v>
      </c>
    </row>
    <row r="619" spans="1:11" ht="14.25" customHeight="1" x14ac:dyDescent="0.2">
      <c r="A619" s="144">
        <v>61300</v>
      </c>
      <c r="C619" s="143">
        <f>HLOOKUP("start",ESLData!E$1:E$9960,MATCH($A619,ESLData!$B$1:$B$9960,0))</f>
        <v>160</v>
      </c>
      <c r="E619" s="143">
        <f>HLOOKUP("start",ESLData!F$1:F$9960,MATCH($A619,ESLData!$B$1:$B$9960,0))</f>
        <v>6000</v>
      </c>
      <c r="G619" s="143">
        <f>HLOOKUP("start",ESLData!H$1:H$9960,MATCH($A619,ESLData!$B$1:$B$9960,0))</f>
        <v>3857.77</v>
      </c>
      <c r="J619" s="156" t="s">
        <v>987</v>
      </c>
      <c r="K619" s="142" t="str">
        <f>IF(ISNA(HLOOKUP("start",ESLData!C$1:C$9960,MATCH($A619,ESLData!$B$1:$B$9960,0))),"",HLOOKUP("start",ESLData!C$1:C$9960,MATCH($A619,ESLData!$B$1:$B$9960,0)))</f>
        <v>Supervisory Travel &amp; Accom</v>
      </c>
    </row>
    <row r="620" spans="1:11" ht="14.25" customHeight="1" x14ac:dyDescent="0.2">
      <c r="A620" s="144">
        <v>61400</v>
      </c>
      <c r="C620" s="143">
        <f>HLOOKUP("start",ESLData!E$1:E$9960,MATCH($A620,ESLData!$B$1:$B$9960,0))</f>
        <v>0</v>
      </c>
      <c r="E620" s="143">
        <f>HLOOKUP("start",ESLData!F$1:F$9960,MATCH($A620,ESLData!$B$1:$B$9960,0))</f>
        <v>0</v>
      </c>
      <c r="G620" s="143">
        <f>HLOOKUP("start",ESLData!H$1:H$9960,MATCH($A620,ESLData!$B$1:$B$9960,0))</f>
        <v>0</v>
      </c>
      <c r="J620" s="156" t="s">
        <v>987</v>
      </c>
      <c r="K620" s="142" t="str">
        <f>IF(ISNA(HLOOKUP("start",ESLData!C$1:C$9960,MATCH($A620,ESLData!$B$1:$B$9960,0))),"",HLOOKUP("start",ESLData!C$1:C$9960,MATCH($A620,ESLData!$B$1:$B$9960,0)))</f>
        <v>Relief Staffing</v>
      </c>
    </row>
    <row r="621" spans="1:11" ht="14.25" customHeight="1" x14ac:dyDescent="0.2">
      <c r="A621" s="144">
        <v>61600</v>
      </c>
      <c r="C621" s="143">
        <f>HLOOKUP("start",ESLData!E$1:E$9960,MATCH($A621,ESLData!$B$1:$B$9960,0))</f>
        <v>5221.8500000000004</v>
      </c>
      <c r="E621" s="143">
        <f>HLOOKUP("start",ESLData!F$1:F$9960,MATCH($A621,ESLData!$B$1:$B$9960,0))</f>
        <v>3500</v>
      </c>
      <c r="G621" s="143">
        <f>HLOOKUP("start",ESLData!H$1:H$9960,MATCH($A621,ESLData!$B$1:$B$9960,0))</f>
        <v>3895.02</v>
      </c>
      <c r="J621" s="156" t="s">
        <v>987</v>
      </c>
      <c r="K621" s="142" t="str">
        <f>IF(ISNA(HLOOKUP("start",ESLData!C$1:C$9960,MATCH($A621,ESLData!$B$1:$B$9960,0))),"",HLOOKUP("start",ESLData!C$1:C$9960,MATCH($A621,ESLData!$B$1:$B$9960,0)))</f>
        <v>Massey Travel Costs</v>
      </c>
    </row>
    <row r="622" spans="1:11" ht="14.25" customHeight="1" x14ac:dyDescent="0.2">
      <c r="A622" s="144">
        <v>61700</v>
      </c>
      <c r="C622" s="143">
        <f>HLOOKUP("start",ESLData!E$1:E$9960,MATCH($A622,ESLData!$B$1:$B$9960,0))</f>
        <v>2905.29</v>
      </c>
      <c r="E622" s="143">
        <f>HLOOKUP("start",ESLData!F$1:F$9960,MATCH($A622,ESLData!$B$1:$B$9960,0))</f>
        <v>15000</v>
      </c>
      <c r="G622" s="143">
        <f>HLOOKUP("start",ESLData!H$1:H$9960,MATCH($A622,ESLData!$B$1:$B$9960,0))</f>
        <v>11292.68</v>
      </c>
      <c r="J622" s="156" t="s">
        <v>987</v>
      </c>
      <c r="K622" s="142" t="str">
        <f>IF(ISNA(HLOOKUP("start",ESLData!C$1:C$9960,MATCH($A622,ESLData!$B$1:$B$9960,0))),"",HLOOKUP("start",ESLData!C$1:C$9960,MATCH($A622,ESLData!$B$1:$B$9960,0)))</f>
        <v>RTV Travel &amp; Accom</v>
      </c>
    </row>
    <row r="623" spans="1:11" ht="14.25" customHeight="1" x14ac:dyDescent="0.2">
      <c r="A623" s="144">
        <v>61900</v>
      </c>
      <c r="C623" s="143">
        <f>HLOOKUP("start",ESLData!E$1:E$9960,MATCH($A623,ESLData!$B$1:$B$9960,0))</f>
        <v>262.66000000000003</v>
      </c>
      <c r="E623" s="143">
        <f>HLOOKUP("start",ESLData!F$1:F$9960,MATCH($A623,ESLData!$B$1:$B$9960,0))</f>
        <v>1000</v>
      </c>
      <c r="G623" s="143">
        <f>HLOOKUP("start",ESLData!H$1:H$9960,MATCH($A623,ESLData!$B$1:$B$9960,0))</f>
        <v>455.69</v>
      </c>
      <c r="J623" s="156" t="s">
        <v>987</v>
      </c>
      <c r="K623" s="142" t="str">
        <f>IF(ISNA(HLOOKUP("start",ESLData!C$1:C$9960,MATCH($A623,ESLData!$B$1:$B$9960,0))),"",HLOOKUP("start",ESLData!C$1:C$9960,MATCH($A623,ESLData!$B$1:$B$9960,0)))</f>
        <v>Resources</v>
      </c>
    </row>
    <row r="624" spans="1:11" ht="14.25" customHeight="1" x14ac:dyDescent="0.2">
      <c r="A624" s="144">
        <v>62100</v>
      </c>
      <c r="C624" s="143">
        <f>HLOOKUP("start",ESLData!E$1:E$9960,MATCH($A624,ESLData!$B$1:$B$9960,0))</f>
        <v>0</v>
      </c>
      <c r="E624" s="143">
        <f>HLOOKUP("start",ESLData!F$1:F$9960,MATCH($A624,ESLData!$B$1:$B$9960,0))</f>
        <v>0</v>
      </c>
      <c r="G624" s="143">
        <f>HLOOKUP("start",ESLData!H$1:H$9960,MATCH($A624,ESLData!$B$1:$B$9960,0))</f>
        <v>0</v>
      </c>
      <c r="J624" s="156" t="s">
        <v>987</v>
      </c>
      <c r="K624" s="142" t="str">
        <f>IF(ISNA(HLOOKUP("start",ESLData!C$1:C$9960,MATCH($A624,ESLData!$B$1:$B$9960,0))),"",HLOOKUP("start",ESLData!C$1:C$9960,MATCH($A624,ESLData!$B$1:$B$9960,0)))</f>
        <v>Auck South - Tel Rental/Tolls/Fax</v>
      </c>
    </row>
    <row r="625" spans="1:11" ht="14.25" customHeight="1" x14ac:dyDescent="0.2">
      <c r="A625" s="144">
        <v>62250</v>
      </c>
      <c r="C625" s="143">
        <f>HLOOKUP("start",ESLData!E$1:E$9960,MATCH($A625,ESLData!$B$1:$B$9960,0))</f>
        <v>3457.24</v>
      </c>
      <c r="E625" s="143">
        <f>HLOOKUP("start",ESLData!F$1:F$9960,MATCH($A625,ESLData!$B$1:$B$9960,0))</f>
        <v>1200</v>
      </c>
      <c r="G625" s="143">
        <f>HLOOKUP("start",ESLData!H$1:H$9960,MATCH($A625,ESLData!$B$1:$B$9960,0))</f>
        <v>896.34</v>
      </c>
      <c r="J625" s="156" t="s">
        <v>987</v>
      </c>
      <c r="K625" s="142" t="str">
        <f>IF(ISNA(HLOOKUP("start",ESLData!C$1:C$9960,MATCH($A625,ESLData!$B$1:$B$9960,0))),"",HLOOKUP("start",ESLData!C$1:C$9960,MATCH($A625,ESLData!$B$1:$B$9960,0)))</f>
        <v>Auck South - Photocopying</v>
      </c>
    </row>
    <row r="626" spans="1:11" ht="14.25" customHeight="1" x14ac:dyDescent="0.2">
      <c r="A626" s="144">
        <v>62300</v>
      </c>
      <c r="C626" s="143">
        <f>HLOOKUP("start",ESLData!E$1:E$9960,MATCH($A626,ESLData!$B$1:$B$9960,0))</f>
        <v>3699.48</v>
      </c>
      <c r="E626" s="143">
        <f>HLOOKUP("start",ESLData!F$1:F$9960,MATCH($A626,ESLData!$B$1:$B$9960,0))</f>
        <v>3000</v>
      </c>
      <c r="G626" s="143">
        <f>HLOOKUP("start",ESLData!H$1:H$9960,MATCH($A626,ESLData!$B$1:$B$9960,0))</f>
        <v>2472</v>
      </c>
      <c r="J626" s="156" t="s">
        <v>987</v>
      </c>
      <c r="K626" s="142" t="str">
        <f>IF(ISNA(HLOOKUP("start",ESLData!C$1:C$9960,MATCH($A626,ESLData!$B$1:$B$9960,0))),"",HLOOKUP("start",ESLData!C$1:C$9960,MATCH($A626,ESLData!$B$1:$B$9960,0)))</f>
        <v>Auck South - Printing/Stationery</v>
      </c>
    </row>
    <row r="627" spans="1:11" ht="14.25" customHeight="1" x14ac:dyDescent="0.2">
      <c r="A627" s="144">
        <v>62350</v>
      </c>
      <c r="C627" s="143">
        <f>HLOOKUP("start",ESLData!E$1:E$9960,MATCH($A627,ESLData!$B$1:$B$9960,0))</f>
        <v>10497.48</v>
      </c>
      <c r="E627" s="143">
        <f>HLOOKUP("start",ESLData!F$1:F$9960,MATCH($A627,ESLData!$B$1:$B$9960,0))</f>
        <v>6500</v>
      </c>
      <c r="G627" s="143">
        <f>HLOOKUP("start",ESLData!H$1:H$9960,MATCH($A627,ESLData!$B$1:$B$9960,0))</f>
        <v>9247.4500000000007</v>
      </c>
      <c r="J627" s="156" t="s">
        <v>987</v>
      </c>
      <c r="K627" s="142" t="str">
        <f>IF(ISNA(HLOOKUP("start",ESLData!C$1:C$9960,MATCH($A627,ESLData!$B$1:$B$9960,0))),"",HLOOKUP("start",ESLData!C$1:C$9960,MATCH($A627,ESLData!$B$1:$B$9960,0)))</f>
        <v>Auck South - Consumables</v>
      </c>
    </row>
    <row r="628" spans="1:11" ht="14.25" customHeight="1" x14ac:dyDescent="0.2">
      <c r="A628" s="144">
        <v>62450</v>
      </c>
      <c r="C628" s="143">
        <f>HLOOKUP("start",ESLData!E$1:E$9960,MATCH($A628,ESLData!$B$1:$B$9960,0))</f>
        <v>2717.69</v>
      </c>
      <c r="E628" s="143">
        <f>HLOOKUP("start",ESLData!F$1:F$9960,MATCH($A628,ESLData!$B$1:$B$9960,0))</f>
        <v>2300</v>
      </c>
      <c r="G628" s="143">
        <f>HLOOKUP("start",ESLData!H$1:H$9960,MATCH($A628,ESLData!$B$1:$B$9960,0))</f>
        <v>3139.53</v>
      </c>
      <c r="J628" s="156" t="s">
        <v>987</v>
      </c>
      <c r="K628" s="142" t="str">
        <f>IF(ISNA(HLOOKUP("start",ESLData!C$1:C$9960,MATCH($A628,ESLData!$B$1:$B$9960,0))),"",HLOOKUP("start",ESLData!C$1:C$9960,MATCH($A628,ESLData!$B$1:$B$9960,0)))</f>
        <v>Auck South - Resource Production</v>
      </c>
    </row>
    <row r="629" spans="1:11" ht="14.25" customHeight="1" x14ac:dyDescent="0.2">
      <c r="A629" s="144">
        <v>62455</v>
      </c>
      <c r="C629" s="143">
        <f>HLOOKUP("start",ESLData!E$1:E$9960,MATCH($A629,ESLData!$B$1:$B$9960,0))</f>
        <v>0</v>
      </c>
      <c r="E629" s="143">
        <f>HLOOKUP("start",ESLData!F$1:F$9960,MATCH($A629,ESLData!$B$1:$B$9960,0))</f>
        <v>200</v>
      </c>
      <c r="G629" s="143">
        <f>HLOOKUP("start",ESLData!H$1:H$9960,MATCH($A629,ESLData!$B$1:$B$9960,0))</f>
        <v>0</v>
      </c>
      <c r="J629" s="156" t="s">
        <v>987</v>
      </c>
      <c r="K629" s="142" t="str">
        <f>IF(ISNA(HLOOKUP("start",ESLData!C$1:C$9960,MATCH($A629,ESLData!$B$1:$B$9960,0))),"",HLOOKUP("start",ESLData!C$1:C$9960,MATCH($A629,ESLData!$B$1:$B$9960,0)))</f>
        <v>Auck South - DOM Expenses</v>
      </c>
    </row>
    <row r="630" spans="1:11" ht="14.25" customHeight="1" x14ac:dyDescent="0.2">
      <c r="A630" s="144">
        <v>62550</v>
      </c>
      <c r="C630" s="143">
        <f>HLOOKUP("start",ESLData!E$1:E$9960,MATCH($A630,ESLData!$B$1:$B$9960,0))</f>
        <v>0</v>
      </c>
      <c r="E630" s="143">
        <f>HLOOKUP("start",ESLData!F$1:F$9960,MATCH($A630,ESLData!$B$1:$B$9960,0))</f>
        <v>0</v>
      </c>
      <c r="G630" s="143">
        <f>HLOOKUP("start",ESLData!H$1:H$9960,MATCH($A630,ESLData!$B$1:$B$9960,0))</f>
        <v>0</v>
      </c>
      <c r="J630" s="156" t="s">
        <v>987</v>
      </c>
      <c r="K630" s="142" t="str">
        <f>IF(ISNA(HLOOKUP("start",ESLData!C$1:C$9960,MATCH($A630,ESLData!$B$1:$B$9960,0))),"",HLOOKUP("start",ESLData!C$1:C$9960,MATCH($A630,ESLData!$B$1:$B$9960,0)))</f>
        <v>Recruitment</v>
      </c>
    </row>
    <row r="631" spans="1:11" ht="14.25" customHeight="1" x14ac:dyDescent="0.2">
      <c r="A631" s="144">
        <v>62570</v>
      </c>
      <c r="C631" s="143">
        <f>HLOOKUP("start",ESLData!E$1:E$9960,MATCH($A631,ESLData!$B$1:$B$9960,0))</f>
        <v>1579.37</v>
      </c>
      <c r="E631" s="143">
        <f>HLOOKUP("start",ESLData!F$1:F$9960,MATCH($A631,ESLData!$B$1:$B$9960,0))</f>
        <v>2500</v>
      </c>
      <c r="G631" s="143">
        <f>HLOOKUP("start",ESLData!H$1:H$9960,MATCH($A631,ESLData!$B$1:$B$9960,0))</f>
        <v>1273.29</v>
      </c>
      <c r="J631" s="156" t="s">
        <v>987</v>
      </c>
      <c r="K631" s="142" t="str">
        <f>IF(ISNA(HLOOKUP("start",ESLData!C$1:C$9960,MATCH($A631,ESLData!$B$1:$B$9960,0))),"",HLOOKUP("start",ESLData!C$1:C$9960,MATCH($A631,ESLData!$B$1:$B$9960,0)))</f>
        <v>Staff Travel/Accomodation</v>
      </c>
    </row>
    <row r="632" spans="1:11" ht="14.25" customHeight="1" x14ac:dyDescent="0.2">
      <c r="A632" s="144">
        <v>62580</v>
      </c>
      <c r="C632" s="143">
        <f>HLOOKUP("start",ESLData!E$1:E$9960,MATCH($A632,ESLData!$B$1:$B$9960,0))</f>
        <v>5801.14</v>
      </c>
      <c r="E632" s="143">
        <f>HLOOKUP("start",ESLData!F$1:F$9960,MATCH($A632,ESLData!$B$1:$B$9960,0))</f>
        <v>9000</v>
      </c>
      <c r="G632" s="143">
        <f>HLOOKUP("start",ESLData!H$1:H$9960,MATCH($A632,ESLData!$B$1:$B$9960,0))</f>
        <v>8256.35</v>
      </c>
      <c r="J632" s="156" t="s">
        <v>987</v>
      </c>
      <c r="K632" s="142" t="str">
        <f>IF(ISNA(HLOOKUP("start",ESLData!C$1:C$9960,MATCH($A632,ESLData!$B$1:$B$9960,0))),"",HLOOKUP("start",ESLData!C$1:C$9960,MATCH($A632,ESLData!$B$1:$B$9960,0)))</f>
        <v>Petrol</v>
      </c>
    </row>
    <row r="633" spans="1:11" ht="14.25" customHeight="1" x14ac:dyDescent="0.2">
      <c r="A633" s="144">
        <v>63100</v>
      </c>
      <c r="C633" s="143">
        <f>HLOOKUP("start",ESLData!E$1:E$9960,MATCH($A633,ESLData!$B$1:$B$9960,0))</f>
        <v>0</v>
      </c>
      <c r="D633" s="148"/>
      <c r="E633" s="143">
        <f>HLOOKUP("start",ESLData!F$1:F$9960,MATCH($A633,ESLData!$B$1:$B$9960,0))</f>
        <v>0</v>
      </c>
      <c r="F633" s="148"/>
      <c r="G633" s="143">
        <f>HLOOKUP("start",ESLData!H$1:H$9960,MATCH($A633,ESLData!$B$1:$B$9960,0))</f>
        <v>0</v>
      </c>
      <c r="H633" s="148"/>
      <c r="J633" s="156" t="s">
        <v>987</v>
      </c>
      <c r="K633" s="142" t="str">
        <f>IF(ISNA(HLOOKUP("start",ESLData!C$1:C$9960,MATCH($A633,ESLData!$B$1:$B$9960,0))),"",HLOOKUP("start",ESLData!C$1:C$9960,MATCH($A633,ESLData!$B$1:$B$9960,0)))</f>
        <v>Tel Rental/Tolls/Fax</v>
      </c>
    </row>
    <row r="634" spans="1:11" ht="14.25" customHeight="1" x14ac:dyDescent="0.2">
      <c r="A634" s="144">
        <v>63250</v>
      </c>
      <c r="C634" s="143">
        <f>HLOOKUP("start",ESLData!E$1:E$9960,MATCH($A634,ESLData!$B$1:$B$9960,0))</f>
        <v>420.58</v>
      </c>
      <c r="E634" s="143">
        <f>HLOOKUP("start",ESLData!F$1:F$9960,MATCH($A634,ESLData!$B$1:$B$9960,0))</f>
        <v>300</v>
      </c>
      <c r="G634" s="143">
        <f>HLOOKUP("start",ESLData!H$1:H$9960,MATCH($A634,ESLData!$B$1:$B$9960,0))</f>
        <v>286.89</v>
      </c>
      <c r="J634" s="156" t="s">
        <v>987</v>
      </c>
      <c r="K634" s="142" t="str">
        <f>IF(ISNA(HLOOKUP("start",ESLData!C$1:C$9960,MATCH($A634,ESLData!$B$1:$B$9960,0))),"",HLOOKUP("start",ESLData!C$1:C$9960,MATCH($A634,ESLData!$B$1:$B$9960,0)))</f>
        <v>Northland - Photocopying</v>
      </c>
    </row>
    <row r="635" spans="1:11" ht="14.25" customHeight="1" x14ac:dyDescent="0.2">
      <c r="A635" s="144">
        <v>63300</v>
      </c>
      <c r="C635" s="143">
        <f>HLOOKUP("start",ESLData!E$1:E$9960,MATCH($A635,ESLData!$B$1:$B$9960,0))</f>
        <v>434.23</v>
      </c>
      <c r="D635" s="148"/>
      <c r="E635" s="143">
        <f>HLOOKUP("start",ESLData!F$1:F$9960,MATCH($A635,ESLData!$B$1:$B$9960,0))</f>
        <v>600</v>
      </c>
      <c r="F635" s="148"/>
      <c r="G635" s="143">
        <f>HLOOKUP("start",ESLData!H$1:H$9960,MATCH($A635,ESLData!$B$1:$B$9960,0))</f>
        <v>584.25</v>
      </c>
      <c r="H635" s="148"/>
      <c r="J635" s="156" t="s">
        <v>987</v>
      </c>
      <c r="K635" s="142" t="str">
        <f>IF(ISNA(HLOOKUP("start",ESLData!C$1:C$9960,MATCH($A635,ESLData!$B$1:$B$9960,0))),"",HLOOKUP("start",ESLData!C$1:C$9960,MATCH($A635,ESLData!$B$1:$B$9960,0)))</f>
        <v>Northland - Printing/Stationery</v>
      </c>
    </row>
    <row r="636" spans="1:11" ht="14.25" customHeight="1" x14ac:dyDescent="0.2">
      <c r="A636" s="144">
        <v>63350</v>
      </c>
      <c r="C636" s="143">
        <f>HLOOKUP("start",ESLData!E$1:E$9960,MATCH($A636,ESLData!$B$1:$B$9960,0))</f>
        <v>3133.06</v>
      </c>
      <c r="D636" s="148"/>
      <c r="E636" s="143">
        <f>HLOOKUP("start",ESLData!F$1:F$9960,MATCH($A636,ESLData!$B$1:$B$9960,0))</f>
        <v>4000</v>
      </c>
      <c r="F636" s="148"/>
      <c r="G636" s="143">
        <f>HLOOKUP("start",ESLData!H$1:H$9960,MATCH($A636,ESLData!$B$1:$B$9960,0))</f>
        <v>3494.54</v>
      </c>
      <c r="H636" s="148"/>
      <c r="J636" s="156" t="s">
        <v>987</v>
      </c>
      <c r="K636" s="142" t="str">
        <f>IF(ISNA(HLOOKUP("start",ESLData!C$1:C$9960,MATCH($A636,ESLData!$B$1:$B$9960,0))),"",HLOOKUP("start",ESLData!C$1:C$9960,MATCH($A636,ESLData!$B$1:$B$9960,0)))</f>
        <v>Northland Consumables</v>
      </c>
    </row>
    <row r="637" spans="1:11" ht="14.25" customHeight="1" x14ac:dyDescent="0.2">
      <c r="A637" s="144">
        <v>63400</v>
      </c>
      <c r="C637" s="143">
        <f>HLOOKUP("start",ESLData!E$1:E$9960,MATCH($A637,ESLData!$B$1:$B$9960,0))</f>
        <v>0</v>
      </c>
      <c r="E637" s="143">
        <f>HLOOKUP("start",ESLData!F$1:F$9960,MATCH($A637,ESLData!$B$1:$B$9960,0))</f>
        <v>150</v>
      </c>
      <c r="G637" s="143">
        <f>HLOOKUP("start",ESLData!H$1:H$9960,MATCH($A637,ESLData!$B$1:$B$9960,0))</f>
        <v>38.26</v>
      </c>
      <c r="J637" s="156" t="s">
        <v>987</v>
      </c>
      <c r="K637" s="142" t="str">
        <f>IF(ISNA(HLOOKUP("start",ESLData!C$1:C$9960,MATCH($A637,ESLData!$B$1:$B$9960,0))),"",HLOOKUP("start",ESLData!C$1:C$9960,MATCH($A637,ESLData!$B$1:$B$9960,0)))</f>
        <v>Northland - Publications</v>
      </c>
    </row>
    <row r="638" spans="1:11" ht="14.25" customHeight="1" x14ac:dyDescent="0.2">
      <c r="A638" s="144">
        <v>63450</v>
      </c>
      <c r="C638" s="143">
        <f>HLOOKUP("start",ESLData!E$1:E$9960,MATCH($A638,ESLData!$B$1:$B$9960,0))</f>
        <v>0</v>
      </c>
      <c r="D638" s="148"/>
      <c r="E638" s="143">
        <f>HLOOKUP("start",ESLData!F$1:F$9960,MATCH($A638,ESLData!$B$1:$B$9960,0))</f>
        <v>0</v>
      </c>
      <c r="F638" s="148"/>
      <c r="G638" s="143">
        <f>HLOOKUP("start",ESLData!H$1:H$9960,MATCH($A638,ESLData!$B$1:$B$9960,0))</f>
        <v>0</v>
      </c>
      <c r="H638" s="148"/>
      <c r="J638" s="156" t="s">
        <v>987</v>
      </c>
      <c r="K638" s="142" t="str">
        <f>IF(ISNA(HLOOKUP("start",ESLData!C$1:C$9960,MATCH($A638,ESLData!$B$1:$B$9960,0))),"",HLOOKUP("start",ESLData!C$1:C$9960,MATCH($A638,ESLData!$B$1:$B$9960,0)))</f>
        <v>Northland - Subs/Membership Fees</v>
      </c>
    </row>
    <row r="639" spans="1:11" ht="14.25" customHeight="1" x14ac:dyDescent="0.2">
      <c r="A639" s="144">
        <v>63460</v>
      </c>
      <c r="C639" s="143">
        <f>HLOOKUP("start",ESLData!E$1:E$9960,MATCH($A639,ESLData!$B$1:$B$9960,0))</f>
        <v>769.93</v>
      </c>
      <c r="E639" s="143">
        <f>HLOOKUP("start",ESLData!F$1:F$9960,MATCH($A639,ESLData!$B$1:$B$9960,0))</f>
        <v>1000</v>
      </c>
      <c r="G639" s="143">
        <f>HLOOKUP("start",ESLData!H$1:H$9960,MATCH($A639,ESLData!$B$1:$B$9960,0))</f>
        <v>791.02</v>
      </c>
      <c r="J639" s="156" t="s">
        <v>987</v>
      </c>
      <c r="K639" s="142" t="str">
        <f>IF(ISNA(HLOOKUP("start",ESLData!C$1:C$9960,MATCH($A639,ESLData!$B$1:$B$9960,0))),"",HLOOKUP("start",ESLData!C$1:C$9960,MATCH($A639,ESLData!$B$1:$B$9960,0)))</f>
        <v>Northland - Resource Production</v>
      </c>
    </row>
    <row r="640" spans="1:11" ht="14.25" customHeight="1" x14ac:dyDescent="0.2">
      <c r="A640" s="144">
        <v>63465</v>
      </c>
      <c r="C640" s="143">
        <f>HLOOKUP("start",ESLData!E$1:E$9960,MATCH($A640,ESLData!$B$1:$B$9960,0))</f>
        <v>21.74</v>
      </c>
      <c r="E640" s="143">
        <f>HLOOKUP("start",ESLData!F$1:F$9960,MATCH($A640,ESLData!$B$1:$B$9960,0))</f>
        <v>200</v>
      </c>
      <c r="G640" s="143">
        <f>HLOOKUP("start",ESLData!H$1:H$9960,MATCH($A640,ESLData!$B$1:$B$9960,0))</f>
        <v>0</v>
      </c>
      <c r="J640" s="156" t="s">
        <v>987</v>
      </c>
      <c r="K640" s="142" t="str">
        <f>IF(ISNA(HLOOKUP("start",ESLData!C$1:C$9960,MATCH($A640,ESLData!$B$1:$B$9960,0))),"",HLOOKUP("start",ESLData!C$1:C$9960,MATCH($A640,ESLData!$B$1:$B$9960,0)))</f>
        <v>Northland - DOM Expenses</v>
      </c>
    </row>
    <row r="641" spans="1:11" ht="14.25" customHeight="1" x14ac:dyDescent="0.2">
      <c r="A641" s="144">
        <v>63550</v>
      </c>
      <c r="C641" s="143">
        <f>HLOOKUP("start",ESLData!E$1:E$9960,MATCH($A641,ESLData!$B$1:$B$9960,0))</f>
        <v>0</v>
      </c>
      <c r="E641" s="143">
        <f>HLOOKUP("start",ESLData!F$1:F$9960,MATCH($A641,ESLData!$B$1:$B$9960,0))</f>
        <v>0</v>
      </c>
      <c r="G641" s="143">
        <f>HLOOKUP("start",ESLData!H$1:H$9960,MATCH($A641,ESLData!$B$1:$B$9960,0))</f>
        <v>0</v>
      </c>
      <c r="J641" s="156"/>
    </row>
    <row r="642" spans="1:11" ht="14.25" customHeight="1" x14ac:dyDescent="0.2">
      <c r="A642" s="144">
        <v>63570</v>
      </c>
      <c r="C642" s="143">
        <f>HLOOKUP("start",ESLData!E$1:E$9960,MATCH($A642,ESLData!$B$1:$B$9960,0))</f>
        <v>3364.09</v>
      </c>
      <c r="E642" s="143">
        <f>HLOOKUP("start",ESLData!F$1:F$9960,MATCH($A642,ESLData!$B$1:$B$9960,0))</f>
        <v>4000</v>
      </c>
      <c r="G642" s="143">
        <f>HLOOKUP("start",ESLData!H$1:H$9960,MATCH($A642,ESLData!$B$1:$B$9960,0))</f>
        <v>3242.41</v>
      </c>
      <c r="J642" s="156"/>
    </row>
    <row r="643" spans="1:11" ht="14.25" customHeight="1" x14ac:dyDescent="0.2">
      <c r="A643" s="144">
        <v>63580</v>
      </c>
      <c r="C643" s="143">
        <f>HLOOKUP("start",ESLData!E$1:E$9960,MATCH($A643,ESLData!$B$1:$B$9960,0))</f>
        <v>3820.35</v>
      </c>
      <c r="E643" s="143">
        <f>HLOOKUP("start",ESLData!F$1:F$9960,MATCH($A643,ESLData!$B$1:$B$9960,0))</f>
        <v>5500</v>
      </c>
      <c r="G643" s="143">
        <f>HLOOKUP("start",ESLData!H$1:H$9960,MATCH($A643,ESLData!$B$1:$B$9960,0))</f>
        <v>5240.8500000000004</v>
      </c>
      <c r="I643" s="152" t="s">
        <v>985</v>
      </c>
      <c r="K643" s="142" t="str">
        <f>IF(ISNA(HLOOKUP("start",ESLData!C$1:C$9960,MATCH($A643,ESLData!$B$1:$B$9960,0))),"",HLOOKUP("start",ESLData!C$1:C$9960,MATCH($A643,ESLData!$B$1:$B$9960,0)))</f>
        <v>Northland - Petrol</v>
      </c>
    </row>
    <row r="644" spans="1:11" ht="14.25" customHeight="1" x14ac:dyDescent="0.2">
      <c r="A644" s="144">
        <v>64000</v>
      </c>
      <c r="C644" s="143">
        <f>HLOOKUP("start",ESLData!E$1:E$9960,MATCH($A644,ESLData!$B$1:$B$9960,0))</f>
        <v>188.33</v>
      </c>
      <c r="E644" s="143">
        <f>HLOOKUP("start",ESLData!F$1:F$9960,MATCH($A644,ESLData!$B$1:$B$9960,0))</f>
        <v>300</v>
      </c>
      <c r="G644" s="143">
        <f>HLOOKUP("start",ESLData!H$1:H$9960,MATCH($A644,ESLData!$B$1:$B$9960,0))</f>
        <v>158.88</v>
      </c>
      <c r="I644" s="152"/>
      <c r="K644" s="142" t="str">
        <f>IF(ISNA(HLOOKUP("start",ESLData!C$1:C$9960,MATCH($A644,ESLData!$B$1:$B$9960,0))),"",HLOOKUP("start",ESLData!C$1:C$9960,MATCH($A644,ESLData!$B$1:$B$9960,0)))</f>
        <v>Pukekohe - Courier</v>
      </c>
    </row>
    <row r="645" spans="1:11" ht="14.25" customHeight="1" x14ac:dyDescent="0.2">
      <c r="A645" s="144">
        <v>64050</v>
      </c>
      <c r="C645" s="143">
        <f>HLOOKUP("start",ESLData!E$1:E$9960,MATCH($A645,ESLData!$B$1:$B$9960,0))</f>
        <v>338.85</v>
      </c>
      <c r="E645" s="143">
        <f>HLOOKUP("start",ESLData!F$1:F$9960,MATCH($A645,ESLData!$B$1:$B$9960,0))</f>
        <v>250</v>
      </c>
      <c r="G645" s="143">
        <f>HLOOKUP("start",ESLData!H$1:H$9960,MATCH($A645,ESLData!$B$1:$B$9960,0))</f>
        <v>181.6</v>
      </c>
      <c r="I645" s="152"/>
      <c r="K645" s="142" t="str">
        <f>IF(ISNA(HLOOKUP("start",ESLData!C$1:C$9960,MATCH($A645,ESLData!$B$1:$B$9960,0))),"",HLOOKUP("start",ESLData!C$1:C$9960,MATCH($A645,ESLData!$B$1:$B$9960,0)))</f>
        <v>Pukekohe - Postage</v>
      </c>
    </row>
    <row r="646" spans="1:11" ht="14.25" customHeight="1" x14ac:dyDescent="0.2">
      <c r="A646" s="144">
        <v>64200</v>
      </c>
      <c r="C646" s="143">
        <f>HLOOKUP("start",ESLData!E$1:E$9960,MATCH($A646,ESLData!$B$1:$B$9960,0))</f>
        <v>295.3</v>
      </c>
      <c r="E646" s="143">
        <f>HLOOKUP("start",ESLData!F$1:F$9960,MATCH($A646,ESLData!$B$1:$B$9960,0))</f>
        <v>350</v>
      </c>
      <c r="G646" s="143">
        <f>HLOOKUP("start",ESLData!H$1:H$9960,MATCH($A646,ESLData!$B$1:$B$9960,0))</f>
        <v>383.57</v>
      </c>
      <c r="I646" s="152"/>
      <c r="K646" s="142" t="str">
        <f>IF(ISNA(HLOOKUP("start",ESLData!C$1:C$9960,MATCH($A646,ESLData!$B$1:$B$9960,0))),"",HLOOKUP("start",ESLData!C$1:C$9960,MATCH($A646,ESLData!$B$1:$B$9960,0)))</f>
        <v>Pukekohe - Equip Maintenance</v>
      </c>
    </row>
    <row r="647" spans="1:11" ht="14.25" customHeight="1" x14ac:dyDescent="0.2">
      <c r="A647" s="144">
        <v>64250</v>
      </c>
      <c r="C647" s="143">
        <f>HLOOKUP("start",ESLData!E$1:E$9960,MATCH($A647,ESLData!$B$1:$B$9960,0))</f>
        <v>1285.54</v>
      </c>
      <c r="E647" s="143">
        <f>HLOOKUP("start",ESLData!F$1:F$9960,MATCH($A647,ESLData!$B$1:$B$9960,0))</f>
        <v>1000</v>
      </c>
      <c r="G647" s="143">
        <f>HLOOKUP("start",ESLData!H$1:H$9960,MATCH($A647,ESLData!$B$1:$B$9960,0))</f>
        <v>1154.5999999999999</v>
      </c>
      <c r="I647" s="152"/>
      <c r="K647" s="142" t="str">
        <f>IF(ISNA(HLOOKUP("start",ESLData!C$1:C$9960,MATCH($A647,ESLData!$B$1:$B$9960,0))),"",HLOOKUP("start",ESLData!C$1:C$9960,MATCH($A647,ESLData!$B$1:$B$9960,0)))</f>
        <v>Pukekohe - Photocopying</v>
      </c>
    </row>
    <row r="648" spans="1:11" ht="14.25" customHeight="1" x14ac:dyDescent="0.2">
      <c r="A648" s="144">
        <v>64300</v>
      </c>
      <c r="C648" s="143">
        <f>HLOOKUP("start",ESLData!E$1:E$9960,MATCH($A648,ESLData!$B$1:$B$9960,0))</f>
        <v>682.36</v>
      </c>
      <c r="E648" s="143">
        <f>HLOOKUP("start",ESLData!F$1:F$9960,MATCH($A648,ESLData!$B$1:$B$9960,0))</f>
        <v>1000</v>
      </c>
      <c r="G648" s="143">
        <f>HLOOKUP("start",ESLData!H$1:H$9960,MATCH($A648,ESLData!$B$1:$B$9960,0))</f>
        <v>1252.25</v>
      </c>
      <c r="I648" s="152"/>
      <c r="K648" s="142" t="str">
        <f>IF(ISNA(HLOOKUP("start",ESLData!C$1:C$9960,MATCH($A648,ESLData!$B$1:$B$9960,0))),"",HLOOKUP("start",ESLData!C$1:C$9960,MATCH($A648,ESLData!$B$1:$B$9960,0)))</f>
        <v>Puke - Printing/Stationery</v>
      </c>
    </row>
    <row r="649" spans="1:11" ht="14.25" customHeight="1" x14ac:dyDescent="0.2">
      <c r="A649" s="144">
        <v>64350</v>
      </c>
      <c r="C649" s="143">
        <f>HLOOKUP("start",ESLData!E$1:E$9960,MATCH($A649,ESLData!$B$1:$B$9960,0))</f>
        <v>9369.09</v>
      </c>
      <c r="E649" s="143">
        <f>HLOOKUP("start",ESLData!F$1:F$9960,MATCH($A649,ESLData!$B$1:$B$9960,0))</f>
        <v>6000</v>
      </c>
      <c r="G649" s="143">
        <f>HLOOKUP("start",ESLData!H$1:H$9960,MATCH($A649,ESLData!$B$1:$B$9960,0))</f>
        <v>6754.53</v>
      </c>
      <c r="I649" s="152"/>
      <c r="K649" s="142" t="str">
        <f>IF(ISNA(HLOOKUP("start",ESLData!C$1:C$9960,MATCH($A649,ESLData!$B$1:$B$9960,0))),"",HLOOKUP("start",ESLData!C$1:C$9960,MATCH($A649,ESLData!$B$1:$B$9960,0)))</f>
        <v>Pukekohe Consumables</v>
      </c>
    </row>
    <row r="650" spans="1:11" ht="14.25" customHeight="1" x14ac:dyDescent="0.2">
      <c r="A650" s="144">
        <v>64400</v>
      </c>
      <c r="C650" s="143">
        <f>HLOOKUP("start",ESLData!E$1:E$9960,MATCH($A650,ESLData!$B$1:$B$9960,0))</f>
        <v>446.07</v>
      </c>
      <c r="E650" s="143">
        <f>HLOOKUP("start",ESLData!F$1:F$9960,MATCH($A650,ESLData!$B$1:$B$9960,0))</f>
        <v>800</v>
      </c>
      <c r="G650" s="143">
        <f>HLOOKUP("start",ESLData!H$1:H$9960,MATCH($A650,ESLData!$B$1:$B$9960,0))</f>
        <v>974.49</v>
      </c>
      <c r="I650" s="152"/>
      <c r="K650" s="142" t="str">
        <f>IF(ISNA(HLOOKUP("start",ESLData!C$1:C$9960,MATCH($A650,ESLData!$B$1:$B$9960,0))),"",HLOOKUP("start",ESLData!C$1:C$9960,MATCH($A650,ESLData!$B$1:$B$9960,0)))</f>
        <v>Pukekohe - Publications</v>
      </c>
    </row>
    <row r="651" spans="1:11" ht="14.25" customHeight="1" x14ac:dyDescent="0.2">
      <c r="A651" s="144">
        <v>64450</v>
      </c>
      <c r="C651" s="143">
        <f>HLOOKUP("start",ESLData!E$1:E$9960,MATCH($A651,ESLData!$B$1:$B$9960,0))</f>
        <v>16.73</v>
      </c>
      <c r="E651" s="143">
        <f>HLOOKUP("start",ESLData!F$1:F$9960,MATCH($A651,ESLData!$B$1:$B$9960,0))</f>
        <v>200</v>
      </c>
      <c r="G651" s="143">
        <f>HLOOKUP("start",ESLData!H$1:H$9960,MATCH($A651,ESLData!$B$1:$B$9960,0))</f>
        <v>297.43</v>
      </c>
      <c r="I651" s="152"/>
      <c r="K651" s="142" t="str">
        <f>IF(ISNA(HLOOKUP("start",ESLData!C$1:C$9960,MATCH($A651,ESLData!$B$1:$B$9960,0))),"",HLOOKUP("start",ESLData!C$1:C$9960,MATCH($A651,ESLData!$B$1:$B$9960,0)))</f>
        <v>Puke - Subs/Membership Fees</v>
      </c>
    </row>
    <row r="652" spans="1:11" ht="14.25" customHeight="1" x14ac:dyDescent="0.2">
      <c r="A652" s="144">
        <v>64460</v>
      </c>
      <c r="C652" s="143">
        <f>HLOOKUP("start",ESLData!E$1:E$9960,MATCH($A652,ESLData!$B$1:$B$9960,0))</f>
        <v>1520.69</v>
      </c>
      <c r="E652" s="143">
        <f>HLOOKUP("start",ESLData!F$1:F$9960,MATCH($A652,ESLData!$B$1:$B$9960,0))</f>
        <v>2500</v>
      </c>
      <c r="G652" s="143">
        <f>HLOOKUP("start",ESLData!H$1:H$9960,MATCH($A652,ESLData!$B$1:$B$9960,0))</f>
        <v>2304.5500000000002</v>
      </c>
      <c r="J652" s="156" t="s">
        <v>987</v>
      </c>
      <c r="K652" s="142" t="str">
        <f>IF(ISNA(HLOOKUP("start",ESLData!C$1:C$9960,MATCH($A652,ESLData!$B$1:$B$9960,0))),"",HLOOKUP("start",ESLData!C$1:C$9960,MATCH($A652,ESLData!$B$1:$B$9960,0)))</f>
        <v>Pukekohe Resource Production</v>
      </c>
    </row>
    <row r="653" spans="1:11" ht="14.25" customHeight="1" x14ac:dyDescent="0.2">
      <c r="A653" s="144">
        <v>64465</v>
      </c>
      <c r="C653" s="143">
        <f>HLOOKUP("start",ESLData!E$1:E$9960,MATCH($A653,ESLData!$B$1:$B$9960,0))</f>
        <v>185.38</v>
      </c>
      <c r="D653" s="162">
        <f>ROUND(SUM(C331:C653),0)</f>
        <v>1601941</v>
      </c>
      <c r="E653" s="143">
        <f>HLOOKUP("start",ESLData!F$1:F$9960,MATCH($A653,ESLData!$B$1:$B$9960,0))</f>
        <v>200</v>
      </c>
      <c r="F653" s="155">
        <f>ROUND(SUM(E331:E653),0)</f>
        <v>1730995</v>
      </c>
      <c r="G653" s="143">
        <f>HLOOKUP("start",ESLData!H$1:H$9960,MATCH($A653,ESLData!$B$1:$B$9960,0))</f>
        <v>43.48</v>
      </c>
      <c r="H653" s="162">
        <f>ROUND(SUM(G331:G653),0)</f>
        <v>1318929</v>
      </c>
      <c r="J653" s="156" t="s">
        <v>987</v>
      </c>
      <c r="K653" s="142" t="str">
        <f>IF(ISNA(HLOOKUP("start",ESLData!C$1:C$9960,MATCH($A653,ESLData!$B$1:$B$9960,0))),"",HLOOKUP("start",ESLData!C$1:C$9960,MATCH($A653,ESLData!$B$1:$B$9960,0)))</f>
        <v>Pukekohe DOM Expenses</v>
      </c>
    </row>
    <row r="654" spans="1:11" ht="14.25" customHeight="1" x14ac:dyDescent="0.2">
      <c r="C654" s="143"/>
      <c r="D654" s="155"/>
      <c r="E654" s="143"/>
      <c r="F654" s="155"/>
      <c r="G654" s="143"/>
      <c r="H654" s="155"/>
      <c r="J654" s="146"/>
    </row>
    <row r="655" spans="1:11" ht="14.25" customHeight="1" x14ac:dyDescent="0.2">
      <c r="C655" s="143"/>
      <c r="D655" s="155"/>
      <c r="E655" s="143"/>
      <c r="F655" s="155"/>
      <c r="G655" s="143"/>
      <c r="H655" s="155"/>
      <c r="J655" s="146"/>
    </row>
    <row r="656" spans="1:11" ht="14.25" customHeight="1" x14ac:dyDescent="0.2">
      <c r="A656" s="147" t="s">
        <v>978</v>
      </c>
      <c r="C656" s="143"/>
      <c r="E656" s="143"/>
      <c r="G656" s="143"/>
      <c r="J656" s="156" t="s">
        <v>987</v>
      </c>
      <c r="K656" s="142" t="str">
        <f>IF(ISNA(HLOOKUP("start",ESLData!C$1:C$9960,MATCH($A656,ESLData!$B$1:$B$9960,0))),"",HLOOKUP("start",ESLData!C$1:C$9960,MATCH($A656,ESLData!$B$1:$B$9960,0)))</f>
        <v/>
      </c>
    </row>
    <row r="657" spans="1:11" ht="14.25" customHeight="1" x14ac:dyDescent="0.2">
      <c r="A657" s="144">
        <v>35130</v>
      </c>
      <c r="C657" s="143">
        <f>HLOOKUP("start",ESLData!E$1:E$9960,MATCH($A657,ESLData!$B$1:$B$9960,0))</f>
        <v>757.28</v>
      </c>
      <c r="D657" s="148"/>
      <c r="E657" s="143">
        <f>HLOOKUP("start",ESLData!F$1:F$9960,MATCH($A657,ESLData!$B$1:$B$9960,0))</f>
        <v>500</v>
      </c>
      <c r="F657" s="148"/>
      <c r="G657" s="143">
        <f>HLOOKUP("start",ESLData!H$1:H$9960,MATCH($A657,ESLData!$B$1:$B$9960,0))</f>
        <v>678.26</v>
      </c>
      <c r="J657" s="156" t="s">
        <v>987</v>
      </c>
      <c r="K657" s="142" t="str">
        <f>IF(ISNA(HLOOKUP("start",ESLData!C$1:C$9960,MATCH($A657,ESLData!$B$1:$B$9960,0))),"",HLOOKUP("start",ESLData!C$1:C$9960,MATCH($A657,ESLData!$B$1:$B$9960,0)))</f>
        <v>Auckland North - Equipment Maintenance</v>
      </c>
    </row>
    <row r="658" spans="1:11" ht="14.25" customHeight="1" x14ac:dyDescent="0.2">
      <c r="A658" s="144">
        <v>35204</v>
      </c>
      <c r="C658" s="143">
        <f>HLOOKUP("start",ESLData!E$1:E$9960,MATCH($A658,ESLData!$B$1:$B$9960,0))</f>
        <v>2368.29</v>
      </c>
      <c r="E658" s="143">
        <f>HLOOKUP("start",ESLData!F$1:F$9960,MATCH($A658,ESLData!$B$1:$B$9960,0))</f>
        <v>1000</v>
      </c>
      <c r="G658" s="143">
        <f>HLOOKUP("start",ESLData!H$1:H$9960,MATCH($A658,ESLData!$B$1:$B$9960,0))</f>
        <v>878.26</v>
      </c>
      <c r="J658" s="156" t="s">
        <v>987</v>
      </c>
      <c r="K658" s="142" t="str">
        <f>IF(ISNA(HLOOKUP("start",ESLData!C$1:C$9960,MATCH($A658,ESLData!$B$1:$B$9960,0))),"",HLOOKUP("start",ESLData!C$1:C$9960,MATCH($A658,ESLData!$B$1:$B$9960,0)))</f>
        <v>National Equipment Maintenance</v>
      </c>
    </row>
    <row r="659" spans="1:11" ht="14.25" customHeight="1" x14ac:dyDescent="0.2">
      <c r="A659" s="144">
        <v>35325</v>
      </c>
      <c r="C659" s="143">
        <f>HLOOKUP("start",ESLData!E$1:E$9960,MATCH($A659,ESLData!$B$1:$B$9960,0))</f>
        <v>0</v>
      </c>
      <c r="E659" s="143">
        <f>HLOOKUP("start",ESLData!F$1:F$9960,MATCH($A659,ESLData!$B$1:$B$9960,0))</f>
        <v>300</v>
      </c>
      <c r="G659" s="143">
        <f>HLOOKUP("start",ESLData!H$1:H$9960,MATCH($A659,ESLData!$B$1:$B$9960,0))</f>
        <v>0</v>
      </c>
      <c r="J659" s="156" t="s">
        <v>987</v>
      </c>
      <c r="K659" s="142" t="str">
        <f>IF(ISNA(HLOOKUP("start",ESLData!C$1:C$9960,MATCH($A659,ESLData!$B$1:$B$9960,0))),"",HLOOKUP("start",ESLData!C$1:C$9960,MATCH($A659,ESLData!$B$1:$B$9960,0)))</f>
        <v>Nelson - Equipment Maintenance</v>
      </c>
    </row>
    <row r="660" spans="1:11" ht="14.25" customHeight="1" x14ac:dyDescent="0.2">
      <c r="A660" s="144">
        <v>35625</v>
      </c>
      <c r="C660" s="143">
        <f>HLOOKUP("start",ESLData!E$1:E$9960,MATCH($A660,ESLData!$B$1:$B$9960,0))</f>
        <v>193.5</v>
      </c>
      <c r="E660" s="143">
        <f>HLOOKUP("start",ESLData!F$1:F$9960,MATCH($A660,ESLData!$B$1:$B$9960,0))</f>
        <v>250</v>
      </c>
      <c r="G660" s="143">
        <f>HLOOKUP("start",ESLData!H$1:H$9960,MATCH($A660,ESLData!$B$1:$B$9960,0))</f>
        <v>220.5</v>
      </c>
      <c r="J660" s="156" t="s">
        <v>987</v>
      </c>
      <c r="K660" s="142" t="str">
        <f>IF(ISNA(HLOOKUP("start",ESLData!C$1:C$9960,MATCH($A660,ESLData!$B$1:$B$9960,0))),"",HLOOKUP("start",ESLData!C$1:C$9960,MATCH($A660,ESLData!$B$1:$B$9960,0)))</f>
        <v>Southland - Equipment Maintenance</v>
      </c>
    </row>
    <row r="661" spans="1:11" ht="14.25" customHeight="1" x14ac:dyDescent="0.2">
      <c r="A661" s="144">
        <v>35830</v>
      </c>
      <c r="C661" s="143">
        <f>HLOOKUP("start",ESLData!E$1:E$9960,MATCH($A661,ESLData!$B$1:$B$9960,0))</f>
        <v>0</v>
      </c>
      <c r="E661" s="143">
        <f>HLOOKUP("start",ESLData!F$1:F$9960,MATCH($A661,ESLData!$B$1:$B$9960,0))</f>
        <v>500</v>
      </c>
      <c r="G661" s="143">
        <f>HLOOKUP("start",ESLData!H$1:H$9960,MATCH($A661,ESLData!$B$1:$B$9960,0))</f>
        <v>0</v>
      </c>
      <c r="J661" s="156" t="s">
        <v>987</v>
      </c>
      <c r="K661" s="142" t="str">
        <f>IF(ISNA(HLOOKUP("start",ESLData!C$1:C$9960,MATCH($A661,ESLData!$B$1:$B$9960,0))),"",HLOOKUP("start",ESLData!C$1:C$9960,MATCH($A661,ESLData!$B$1:$B$9960,0)))</f>
        <v>ITM - Equip Maintenance</v>
      </c>
    </row>
    <row r="662" spans="1:11" ht="14.25" customHeight="1" x14ac:dyDescent="0.2">
      <c r="A662" s="144">
        <v>36001</v>
      </c>
      <c r="C662" s="143">
        <f>HLOOKUP("start",ESLData!E$1:E$9960,MATCH($A662,ESLData!$B$1:$B$9960,0))</f>
        <v>128.52000000000001</v>
      </c>
      <c r="E662" s="143">
        <f>HLOOKUP("start",ESLData!F$1:F$9960,MATCH($A662,ESLData!$B$1:$B$9960,0))</f>
        <v>500</v>
      </c>
      <c r="G662" s="143">
        <f>HLOOKUP("start",ESLData!H$1:H$9960,MATCH($A662,ESLData!$B$1:$B$9960,0))</f>
        <v>0</v>
      </c>
      <c r="J662" s="156" t="s">
        <v>987</v>
      </c>
      <c r="K662" s="142" t="str">
        <f>IF(ISNA(HLOOKUP("start",ESLData!C$1:C$9960,MATCH($A662,ESLData!$B$1:$B$9960,0))),"",HLOOKUP("start",ESLData!C$1:C$9960,MATCH($A662,ESLData!$B$1:$B$9960,0)))</f>
        <v>BELS - Equipment Maintenance</v>
      </c>
    </row>
    <row r="663" spans="1:11" ht="14.25" customHeight="1" x14ac:dyDescent="0.2">
      <c r="A663" s="144">
        <v>37250</v>
      </c>
      <c r="C663" s="143">
        <f>HLOOKUP("start",ESLData!E$1:E$9960,MATCH($A663,ESLData!$B$1:$B$9960,0))</f>
        <v>162.12</v>
      </c>
      <c r="E663" s="143">
        <f>HLOOKUP("start",ESLData!F$1:F$9960,MATCH($A663,ESLData!$B$1:$B$9960,0))</f>
        <v>400</v>
      </c>
      <c r="G663" s="143">
        <f>HLOOKUP("start",ESLData!H$1:H$9960,MATCH($A663,ESLData!$B$1:$B$9960,0))</f>
        <v>0</v>
      </c>
      <c r="J663" s="156" t="s">
        <v>987</v>
      </c>
      <c r="K663" s="142" t="str">
        <f>IF(ISNA(HLOOKUP("start",ESLData!C$1:C$9960,MATCH($A663,ESLData!$B$1:$B$9960,0))),"",HLOOKUP("start",ESLData!C$1:C$9960,MATCH($A663,ESLData!$B$1:$B$9960,0)))</f>
        <v>Equipment Maintenance</v>
      </c>
    </row>
    <row r="664" spans="1:11" ht="14.25" customHeight="1" x14ac:dyDescent="0.2">
      <c r="A664" s="144">
        <v>37530</v>
      </c>
      <c r="C664" s="143">
        <f>HLOOKUP("start",ESLData!E$1:E$9960,MATCH($A664,ESLData!$B$1:$B$9960,0))</f>
        <v>83.12</v>
      </c>
      <c r="E664" s="143">
        <f>HLOOKUP("start",ESLData!F$1:F$9960,MATCH($A664,ESLData!$B$1:$B$9960,0))</f>
        <v>400</v>
      </c>
      <c r="G664" s="143">
        <f>HLOOKUP("start",ESLData!H$1:H$9960,MATCH($A664,ESLData!$B$1:$B$9960,0))</f>
        <v>496.54</v>
      </c>
      <c r="J664" s="156" t="s">
        <v>987</v>
      </c>
      <c r="K664" s="142" t="str">
        <f>IF(ISNA(HLOOKUP("start",ESLData!C$1:C$9960,MATCH($A664,ESLData!$B$1:$B$9960,0))),"",HLOOKUP("start",ESLData!C$1:C$9960,MATCH($A664,ESLData!$B$1:$B$9960,0)))</f>
        <v>Repairs &amp; Maintenance</v>
      </c>
    </row>
    <row r="665" spans="1:11" ht="14.25" customHeight="1" x14ac:dyDescent="0.2">
      <c r="A665" s="144">
        <v>39006</v>
      </c>
      <c r="C665" s="143">
        <f>HLOOKUP("start",ESLData!E$1:E$9960,MATCH($A665,ESLData!$B$1:$B$9960,0))</f>
        <v>509.13</v>
      </c>
      <c r="E665" s="143">
        <f>HLOOKUP("start",ESLData!F$1:F$9960,MATCH($A665,ESLData!$B$1:$B$9960,0))</f>
        <v>300</v>
      </c>
      <c r="G665" s="143">
        <f>HLOOKUP("start",ESLData!H$1:H$9960,MATCH($A665,ESLData!$B$1:$B$9960,0))</f>
        <v>0</v>
      </c>
      <c r="J665" s="156" t="s">
        <v>987</v>
      </c>
      <c r="K665" s="142" t="str">
        <f>IF(ISNA(HLOOKUP("start",ESLData!C$1:C$9960,MATCH($A665,ESLData!$B$1:$B$9960,0))),"",HLOOKUP("start",ESLData!C$1:C$9960,MATCH($A665,ESLData!$B$1:$B$9960,0)))</f>
        <v>Hamilton - Equipment Maintenance</v>
      </c>
    </row>
    <row r="666" spans="1:11" ht="14.25" customHeight="1" x14ac:dyDescent="0.2">
      <c r="A666" s="144">
        <v>39056</v>
      </c>
      <c r="C666" s="143">
        <f>HLOOKUP("start",ESLData!E$1:E$9960,MATCH($A666,ESLData!$B$1:$B$9960,0))</f>
        <v>0</v>
      </c>
      <c r="E666" s="143">
        <f>HLOOKUP("start",ESLData!F$1:F$9960,MATCH($A666,ESLData!$B$1:$B$9960,0))</f>
        <v>750</v>
      </c>
      <c r="G666" s="143">
        <f>HLOOKUP("start",ESLData!H$1:H$9960,MATCH($A666,ESLData!$B$1:$B$9960,0))</f>
        <v>1462.53</v>
      </c>
      <c r="J666" s="156" t="s">
        <v>987</v>
      </c>
      <c r="K666" s="142" t="str">
        <f>IF(ISNA(HLOOKUP("start",ESLData!C$1:C$9960,MATCH($A666,ESLData!$B$1:$B$9960,0))),"",HLOOKUP("start",ESLData!C$1:C$9960,MATCH($A666,ESLData!$B$1:$B$9960,0)))</f>
        <v>Christchurch - Equipment Maintenance</v>
      </c>
    </row>
    <row r="667" spans="1:11" ht="14.25" customHeight="1" x14ac:dyDescent="0.2">
      <c r="A667" s="144">
        <v>39106</v>
      </c>
      <c r="C667" s="143">
        <f>HLOOKUP("start",ESLData!E$1:E$9960,MATCH($A667,ESLData!$B$1:$B$9960,0))</f>
        <v>170</v>
      </c>
      <c r="E667" s="143">
        <f>HLOOKUP("start",ESLData!F$1:F$9960,MATCH($A667,ESLData!$B$1:$B$9960,0))</f>
        <v>300</v>
      </c>
      <c r="G667" s="143">
        <f>HLOOKUP("start",ESLData!H$1:H$9960,MATCH($A667,ESLData!$B$1:$B$9960,0))</f>
        <v>107.85</v>
      </c>
      <c r="J667" s="156" t="s">
        <v>987</v>
      </c>
      <c r="K667" s="142" t="str">
        <f>IF(ISNA(HLOOKUP("start",ESLData!C$1:C$9960,MATCH($A667,ESLData!$B$1:$B$9960,0))),"",HLOOKUP("start",ESLData!C$1:C$9960,MATCH($A667,ESLData!$B$1:$B$9960,0)))</f>
        <v>Gisborne - Equipment Maintenance</v>
      </c>
    </row>
    <row r="668" spans="1:11" ht="14.25" customHeight="1" x14ac:dyDescent="0.2">
      <c r="A668" s="144">
        <v>39156</v>
      </c>
      <c r="C668" s="143">
        <f>HLOOKUP("start",ESLData!E$1:E$9960,MATCH($A668,ESLData!$B$1:$B$9960,0))</f>
        <v>152.59</v>
      </c>
      <c r="E668" s="143">
        <f>HLOOKUP("start",ESLData!F$1:F$9960,MATCH($A668,ESLData!$B$1:$B$9960,0))</f>
        <v>350</v>
      </c>
      <c r="G668" s="143">
        <f>HLOOKUP("start",ESLData!H$1:H$9960,MATCH($A668,ESLData!$B$1:$B$9960,0))</f>
        <v>187.31</v>
      </c>
      <c r="J668" s="156" t="s">
        <v>987</v>
      </c>
      <c r="K668" s="142" t="str">
        <f>IF(ISNA(HLOOKUP("start",ESLData!C$1:C$9960,MATCH($A668,ESLData!$B$1:$B$9960,0))),"",HLOOKUP("start",ESLData!C$1:C$9960,MATCH($A668,ESLData!$B$1:$B$9960,0)))</f>
        <v>Wellington - Equipment Maintenance</v>
      </c>
    </row>
    <row r="669" spans="1:11" ht="14.25" customHeight="1" x14ac:dyDescent="0.2">
      <c r="A669" s="144">
        <v>39206</v>
      </c>
      <c r="C669" s="143">
        <f>HLOOKUP("start",ESLData!E$1:E$9960,MATCH($A669,ESLData!$B$1:$B$9960,0))</f>
        <v>275</v>
      </c>
      <c r="E669" s="143">
        <f>HLOOKUP("start",ESLData!F$1:F$9960,MATCH($A669,ESLData!$B$1:$B$9960,0))</f>
        <v>0</v>
      </c>
      <c r="G669" s="143">
        <f>HLOOKUP("start",ESLData!H$1:H$9960,MATCH($A669,ESLData!$B$1:$B$9960,0))</f>
        <v>0</v>
      </c>
      <c r="J669" s="156" t="s">
        <v>987</v>
      </c>
      <c r="K669" s="142" t="str">
        <f>IF(ISNA(HLOOKUP("start",ESLData!C$1:C$9960,MATCH($A669,ESLData!$B$1:$B$9960,0))),"",HLOOKUP("start",ESLData!C$1:C$9960,MATCH($A669,ESLData!$B$1:$B$9960,0)))</f>
        <v>Equipment Maintenance</v>
      </c>
    </row>
    <row r="670" spans="1:11" ht="14.25" customHeight="1" x14ac:dyDescent="0.2">
      <c r="A670" s="144">
        <v>39256</v>
      </c>
      <c r="C670" s="143">
        <f>HLOOKUP("start",ESLData!E$1:E$9960,MATCH($A670,ESLData!$B$1:$B$9960,0))</f>
        <v>79.569999999999993</v>
      </c>
      <c r="E670" s="143">
        <f>HLOOKUP("start",ESLData!F$1:F$9960,MATCH($A670,ESLData!$B$1:$B$9960,0))</f>
        <v>350</v>
      </c>
      <c r="G670" s="143">
        <f>HLOOKUP("start",ESLData!H$1:H$9960,MATCH($A670,ESLData!$B$1:$B$9960,0))</f>
        <v>473.59</v>
      </c>
      <c r="J670" s="156" t="s">
        <v>987</v>
      </c>
      <c r="K670" s="142" t="str">
        <f>IF(ISNA(HLOOKUP("start",ESLData!C$1:C$9960,MATCH($A670,ESLData!$B$1:$B$9960,0))),"",HLOOKUP("start",ESLData!C$1:C$9960,MATCH($A670,ESLData!$B$1:$B$9960,0)))</f>
        <v>PN - Equipment Maintenance</v>
      </c>
    </row>
    <row r="671" spans="1:11" ht="14.25" customHeight="1" x14ac:dyDescent="0.2">
      <c r="A671" s="144">
        <v>39306</v>
      </c>
      <c r="C671" s="143">
        <f>HLOOKUP("start",ESLData!E$1:E$9960,MATCH($A671,ESLData!$B$1:$B$9960,0))</f>
        <v>310</v>
      </c>
      <c r="E671" s="143">
        <f>HLOOKUP("start",ESLData!F$1:F$9960,MATCH($A671,ESLData!$B$1:$B$9960,0))</f>
        <v>350</v>
      </c>
      <c r="G671" s="143">
        <f>HLOOKUP("start",ESLData!H$1:H$9960,MATCH($A671,ESLData!$B$1:$B$9960,0))</f>
        <v>0</v>
      </c>
      <c r="J671" s="156" t="s">
        <v>987</v>
      </c>
      <c r="K671" s="142" t="str">
        <f>IF(ISNA(HLOOKUP("start",ESLData!C$1:C$9960,MATCH($A671,ESLData!$B$1:$B$9960,0))),"",HLOOKUP("start",ESLData!C$1:C$9960,MATCH($A671,ESLData!$B$1:$B$9960,0)))</f>
        <v>Tauranga - Equip Maintenance</v>
      </c>
    </row>
    <row r="672" spans="1:11" ht="14.25" customHeight="1" x14ac:dyDescent="0.2">
      <c r="A672" s="144">
        <v>39356</v>
      </c>
      <c r="C672" s="143">
        <f>HLOOKUP("start",ESLData!E$1:E$9960,MATCH($A672,ESLData!$B$1:$B$9960,0))</f>
        <v>147.59</v>
      </c>
      <c r="E672" s="143">
        <f>HLOOKUP("start",ESLData!F$1:F$9960,MATCH($A672,ESLData!$B$1:$B$9960,0))</f>
        <v>350</v>
      </c>
      <c r="G672" s="143">
        <f>HLOOKUP("start",ESLData!H$1:H$9960,MATCH($A672,ESLData!$B$1:$B$9960,0))</f>
        <v>283.69</v>
      </c>
      <c r="J672" s="156" t="s">
        <v>987</v>
      </c>
      <c r="K672" s="142" t="str">
        <f>IF(ISNA(HLOOKUP("start",ESLData!C$1:C$9960,MATCH($A672,ESLData!$B$1:$B$9960,0))),"",HLOOKUP("start",ESLData!C$1:C$9960,MATCH($A672,ESLData!$B$1:$B$9960,0)))</f>
        <v>Taranaki Equip Maintenance</v>
      </c>
    </row>
    <row r="673" spans="1:11" ht="14.25" customHeight="1" x14ac:dyDescent="0.2">
      <c r="A673" s="144">
        <v>39425</v>
      </c>
      <c r="C673" s="143">
        <f>HLOOKUP("start",ESLData!E$1:E$9960,MATCH($A673,ESLData!$B$1:$B$9960,0))</f>
        <v>0</v>
      </c>
      <c r="E673" s="143">
        <f>HLOOKUP("start",ESLData!F$1:F$9960,MATCH($A673,ESLData!$B$1:$B$9960,0))</f>
        <v>350</v>
      </c>
      <c r="G673" s="143">
        <f>HLOOKUP("start",ESLData!H$1:H$9960,MATCH($A673,ESLData!$B$1:$B$9960,0))</f>
        <v>136.37</v>
      </c>
      <c r="J673" s="156" t="s">
        <v>987</v>
      </c>
      <c r="K673" s="142" t="str">
        <f>IF(ISNA(HLOOKUP("start",ESLData!C$1:C$9960,MATCH($A673,ESLData!$B$1:$B$9960,0))),"",HLOOKUP("start",ESLData!C$1:C$9960,MATCH($A673,ESLData!$B$1:$B$9960,0)))</f>
        <v>Otago - Equipment Maintenance</v>
      </c>
    </row>
    <row r="674" spans="1:11" ht="14.25" customHeight="1" x14ac:dyDescent="0.2">
      <c r="A674" s="144">
        <v>62200</v>
      </c>
      <c r="C674" s="143">
        <f>HLOOKUP("start",ESLData!E$1:E$9960,MATCH($A674,ESLData!$B$1:$B$9960,0))</f>
        <v>986.87</v>
      </c>
      <c r="E674" s="143">
        <f>HLOOKUP("start",ESLData!F$1:F$9960,MATCH($A674,ESLData!$B$1:$B$9960,0))</f>
        <v>500</v>
      </c>
      <c r="G674" s="143">
        <f>HLOOKUP("start",ESLData!H$1:H$9960,MATCH($A674,ESLData!$B$1:$B$9960,0))</f>
        <v>459.86</v>
      </c>
      <c r="J674" s="156" t="s">
        <v>987</v>
      </c>
      <c r="K674" s="142" t="str">
        <f>IF(ISNA(HLOOKUP("start",ESLData!C$1:C$9960,MATCH($A674,ESLData!$B$1:$B$9960,0))),"",HLOOKUP("start",ESLData!C$1:C$9960,MATCH($A674,ESLData!$B$1:$B$9960,0)))</f>
        <v>Auck South - Equipment Maintenance</v>
      </c>
    </row>
    <row r="675" spans="1:11" ht="14.25" customHeight="1" x14ac:dyDescent="0.2">
      <c r="A675" s="144">
        <v>63200</v>
      </c>
      <c r="C675" s="143">
        <f>HLOOKUP("start",ESLData!E$1:E$9960,MATCH($A675,ESLData!$B$1:$B$9960,0))</f>
        <v>173.91</v>
      </c>
      <c r="D675" s="162">
        <f>ROUND(SUM(C657:C675),0)</f>
        <v>6497</v>
      </c>
      <c r="E675" s="143">
        <f>HLOOKUP("start",ESLData!F$1:F$9960,MATCH($A675,ESLData!$B$1:$B$9960,0))</f>
        <v>250</v>
      </c>
      <c r="F675" s="155">
        <f>ROUND(SUM(E657:E675),0)</f>
        <v>7700</v>
      </c>
      <c r="G675" s="143">
        <f>HLOOKUP("start",ESLData!H$1:H$9960,MATCH($A675,ESLData!$B$1:$B$9960,0))</f>
        <v>294.77999999999997</v>
      </c>
      <c r="H675" s="162">
        <f>ROUND(SUM(G657:G675),0)</f>
        <v>5680</v>
      </c>
      <c r="J675" s="156" t="s">
        <v>987</v>
      </c>
      <c r="K675" s="142" t="str">
        <f>IF(ISNA(HLOOKUP("start",ESLData!C$1:C$9960,MATCH($A675,ESLData!$B$1:$B$9960,0))),"",HLOOKUP("start",ESLData!C$1:C$9960,MATCH($A675,ESLData!$B$1:$B$9960,0)))</f>
        <v>Northland - Equip Maintenance</v>
      </c>
    </row>
    <row r="676" spans="1:11" ht="14.25" customHeight="1" x14ac:dyDescent="0.2">
      <c r="C676" s="143"/>
      <c r="D676" s="155"/>
      <c r="E676" s="143"/>
      <c r="F676" s="155"/>
      <c r="G676" s="143"/>
      <c r="H676" s="155"/>
      <c r="J676" s="146"/>
    </row>
    <row r="677" spans="1:11" ht="14.25" customHeight="1" x14ac:dyDescent="0.2">
      <c r="C677" s="143"/>
      <c r="D677" s="155"/>
      <c r="E677" s="143"/>
      <c r="F677" s="155"/>
      <c r="G677" s="143"/>
      <c r="H677" s="155"/>
      <c r="J677" s="146"/>
    </row>
    <row r="678" spans="1:11" ht="14.25" customHeight="1" x14ac:dyDescent="0.2">
      <c r="A678" s="147" t="s">
        <v>633</v>
      </c>
      <c r="C678" s="143"/>
      <c r="E678" s="143"/>
      <c r="G678" s="143"/>
      <c r="K678" s="142" t="str">
        <f>IF(ISNA(HLOOKUP("start",ESLData!C$1:C$9960,MATCH($A678,ESLData!$B$1:$B$9960,0))),"",HLOOKUP("start",ESLData!C$1:C$9960,MATCH($A678,ESLData!$B$1:$B$9960,0)))</f>
        <v/>
      </c>
    </row>
    <row r="679" spans="1:11" ht="14.25" customHeight="1" x14ac:dyDescent="0.2">
      <c r="A679" s="144">
        <v>35060</v>
      </c>
      <c r="C679" s="143">
        <f>HLOOKUP("start",ESLData!E$1:E$9960,MATCH($A679,ESLData!$B$1:$B$9960,0))</f>
        <v>0</v>
      </c>
      <c r="E679" s="143">
        <f>HLOOKUP("start",ESLData!F$1:F$9960,MATCH($A679,ESLData!$B$1:$B$9960,0))</f>
        <v>0</v>
      </c>
      <c r="G679" s="143">
        <f>HLOOKUP("start",ESLData!H$1:H$9960,MATCH($A679,ESLData!$B$1:$B$9960,0))</f>
        <v>0</v>
      </c>
      <c r="J679" s="156" t="s">
        <v>987</v>
      </c>
      <c r="K679" s="142" t="str">
        <f>IF(ISNA(HLOOKUP("start",ESLData!C$1:C$9960,MATCH($A679,ESLData!$B$1:$B$9960,0))),"",HLOOKUP("start",ESLData!C$1:C$9960,MATCH($A679,ESLData!$B$1:$B$9960,0)))</f>
        <v>Publications Itc Co-Ord</v>
      </c>
    </row>
    <row r="680" spans="1:11" ht="14.25" customHeight="1" x14ac:dyDescent="0.2">
      <c r="A680" s="144">
        <v>35194</v>
      </c>
      <c r="C680" s="143">
        <f>HLOOKUP("start",ESLData!E$1:E$9960,MATCH($A680,ESLData!$B$1:$B$9960,0))</f>
        <v>0</v>
      </c>
      <c r="E680" s="143">
        <f>HLOOKUP("start",ESLData!F$1:F$9960,MATCH($A680,ESLData!$B$1:$B$9960,0))</f>
        <v>0</v>
      </c>
      <c r="G680" s="143">
        <f>HLOOKUP("start",ESLData!H$1:H$9960,MATCH($A680,ESLData!$B$1:$B$9960,0))</f>
        <v>0</v>
      </c>
      <c r="J680" s="156" t="s">
        <v>987</v>
      </c>
      <c r="K680" s="142" t="str">
        <f>IF(ISNA(HLOOKUP("start",ESLData!C$1:C$9960,MATCH($A680,ESLData!$B$1:$B$9960,0))),"",HLOOKUP("start",ESLData!C$1:C$9960,MATCH($A680,ESLData!$B$1:$B$9960,0)))</f>
        <v>Projects funded by Banked Staffing Cash</v>
      </c>
    </row>
    <row r="681" spans="1:11" ht="14.25" customHeight="1" x14ac:dyDescent="0.2">
      <c r="A681" s="144">
        <v>35200</v>
      </c>
      <c r="C681" s="143">
        <f>HLOOKUP("start",ESLData!E$1:E$9960,MATCH($A681,ESLData!$B$1:$B$9960,0))</f>
        <v>56231.83</v>
      </c>
      <c r="E681" s="143">
        <f>HLOOKUP("start",ESLData!F$1:F$9960,MATCH($A681,ESLData!$B$1:$B$9960,0))</f>
        <v>51089</v>
      </c>
      <c r="G681" s="143">
        <f>HLOOKUP("start",ESLData!H$1:H$9960,MATCH($A681,ESLData!$B$1:$B$9960,0))</f>
        <v>49942.97</v>
      </c>
      <c r="I681" s="152" t="s">
        <v>985</v>
      </c>
      <c r="K681" s="142" t="str">
        <f>IF(ISNA(HLOOKUP("start",ESLData!C$1:C$9960,MATCH($A681,ESLData!$B$1:$B$9960,0))),"",HLOOKUP("start",ESLData!C$1:C$9960,MATCH($A681,ESLData!$B$1:$B$9960,0)))</f>
        <v>Salaries</v>
      </c>
    </row>
    <row r="682" spans="1:11" ht="14.25" customHeight="1" x14ac:dyDescent="0.2">
      <c r="A682" s="144">
        <v>35400</v>
      </c>
      <c r="C682" s="143">
        <f>HLOOKUP("start",ESLData!E$1:E$9960,MATCH($A682,ESLData!$B$1:$B$9960,0))</f>
        <v>28828.1</v>
      </c>
      <c r="E682" s="143">
        <f>HLOOKUP("start",ESLData!F$1:F$9960,MATCH($A682,ESLData!$B$1:$B$9960,0))</f>
        <v>32100</v>
      </c>
      <c r="G682" s="143">
        <f>HLOOKUP("start",ESLData!H$1:H$9960,MATCH($A682,ESLData!$B$1:$B$9960,0))</f>
        <v>25670.44</v>
      </c>
      <c r="J682" s="156" t="s">
        <v>987</v>
      </c>
      <c r="K682" s="142" t="str">
        <f>IF(ISNA(HLOOKUP("start",ESLData!C$1:C$9960,MATCH($A682,ESLData!$B$1:$B$9960,0))),"",HLOOKUP("start",ESLData!C$1:C$9960,MATCH($A682,ESLData!$B$1:$B$9960,0)))</f>
        <v>Salaries</v>
      </c>
    </row>
    <row r="683" spans="1:11" ht="14.25" customHeight="1" x14ac:dyDescent="0.2">
      <c r="A683" s="144">
        <v>35525</v>
      </c>
      <c r="C683" s="143">
        <f>HLOOKUP("start",ESLData!E$1:E$9960,MATCH($A683,ESLData!$B$1:$B$9960,0))</f>
        <v>97566.25</v>
      </c>
      <c r="E683" s="143">
        <f>HLOOKUP("start",ESLData!F$1:F$9960,MATCH($A683,ESLData!$B$1:$B$9960,0))</f>
        <v>140000</v>
      </c>
      <c r="G683" s="143">
        <f>HLOOKUP("start",ESLData!H$1:H$9960,MATCH($A683,ESLData!$B$1:$B$9960,0))</f>
        <v>197918.04</v>
      </c>
      <c r="J683" s="156" t="s">
        <v>987</v>
      </c>
      <c r="K683" s="142" t="str">
        <f>IF(ISNA(HLOOKUP("start",ESLData!C$1:C$9960,MATCH($A683,ESLData!$B$1:$B$9960,0))),"",HLOOKUP("start",ESLData!C$1:C$9960,MATCH($A683,ESLData!$B$1:$B$9960,0)))</f>
        <v>Regional Relieving Teachers</v>
      </c>
    </row>
    <row r="684" spans="1:11" ht="14.25" customHeight="1" x14ac:dyDescent="0.2">
      <c r="A684" s="144">
        <v>35526</v>
      </c>
      <c r="C684" s="143">
        <f>HLOOKUP("start",ESLData!E$1:E$9960,MATCH($A684,ESLData!$B$1:$B$9960,0))</f>
        <v>74101.960000000006</v>
      </c>
      <c r="E684" s="143">
        <f>HLOOKUP("start",ESLData!F$1:F$9960,MATCH($A684,ESLData!$B$1:$B$9960,0))</f>
        <v>66500</v>
      </c>
      <c r="G684" s="143">
        <f>HLOOKUP("start",ESLData!H$1:H$9960,MATCH($A684,ESLData!$B$1:$B$9960,0))</f>
        <v>45373.23</v>
      </c>
      <c r="J684" s="156" t="s">
        <v>987</v>
      </c>
      <c r="K684" s="142" t="str">
        <f>IF(ISNA(HLOOKUP("start",ESLData!C$1:C$9960,MATCH($A684,ESLData!$B$1:$B$9960,0))),"",HLOOKUP("start",ESLData!C$1:C$9960,MATCH($A684,ESLData!$B$1:$B$9960,0)))</f>
        <v>Regional IT Facilitator Support</v>
      </c>
    </row>
    <row r="685" spans="1:11" ht="14.25" customHeight="1" x14ac:dyDescent="0.2">
      <c r="A685" s="144">
        <v>35527</v>
      </c>
      <c r="C685" s="143">
        <f>HLOOKUP("start",ESLData!E$1:E$9960,MATCH($A685,ESLData!$B$1:$B$9960,0))</f>
        <v>3776.81</v>
      </c>
      <c r="E685" s="143">
        <f>HLOOKUP("start",ESLData!F$1:F$9960,MATCH($A685,ESLData!$B$1:$B$9960,0))</f>
        <v>8250</v>
      </c>
      <c r="G685" s="143">
        <f>HLOOKUP("start",ESLData!H$1:H$9960,MATCH($A685,ESLData!$B$1:$B$9960,0))</f>
        <v>8227.43</v>
      </c>
      <c r="I685" s="152" t="s">
        <v>985</v>
      </c>
      <c r="K685" s="142" t="str">
        <f>IF(ISNA(HLOOKUP("start",ESLData!C$1:C$9960,MATCH($A685,ESLData!$B$1:$B$9960,0))),"",HLOOKUP("start",ESLData!C$1:C$9960,MATCH($A685,ESLData!$B$1:$B$9960,0)))</f>
        <v>Regional 3R Payments</v>
      </c>
    </row>
    <row r="686" spans="1:11" ht="14.25" customHeight="1" x14ac:dyDescent="0.2">
      <c r="A686" s="144">
        <v>35528</v>
      </c>
      <c r="C686" s="143">
        <f>HLOOKUP("start",ESLData!E$1:E$9960,MATCH($A686,ESLData!$B$1:$B$9960,0))</f>
        <v>0</v>
      </c>
      <c r="E686" s="143">
        <f>HLOOKUP("start",ESLData!F$1:F$9960,MATCH($A686,ESLData!$B$1:$B$9960,0))</f>
        <v>0</v>
      </c>
      <c r="G686" s="143">
        <f>HLOOKUP("start",ESLData!H$1:H$9960,MATCH($A686,ESLData!$B$1:$B$9960,0))</f>
        <v>0</v>
      </c>
      <c r="J686" s="156" t="s">
        <v>987</v>
      </c>
      <c r="K686" s="142" t="str">
        <f>IF(ISNA(HLOOKUP("start",ESLData!C$1:C$9960,MATCH($A686,ESLData!$B$1:$B$9960,0))),"",HLOOKUP("start",ESLData!C$1:C$9960,MATCH($A686,ESLData!$B$1:$B$9960,0)))</f>
        <v>Network Project Secondment</v>
      </c>
    </row>
    <row r="687" spans="1:11" ht="14.25" customHeight="1" x14ac:dyDescent="0.2">
      <c r="A687" s="144">
        <v>35529</v>
      </c>
      <c r="C687" s="143">
        <f>HLOOKUP("start",ESLData!E$1:E$9960,MATCH($A687,ESLData!$B$1:$B$9960,0))</f>
        <v>0</v>
      </c>
      <c r="E687" s="143">
        <f>HLOOKUP("start",ESLData!F$1:F$9960,MATCH($A687,ESLData!$B$1:$B$9960,0))</f>
        <v>0</v>
      </c>
      <c r="G687" s="143">
        <f>HLOOKUP("start",ESLData!H$1:H$9960,MATCH($A687,ESLData!$B$1:$B$9960,0))</f>
        <v>0</v>
      </c>
      <c r="I687" s="146"/>
      <c r="J687" s="156" t="s">
        <v>987</v>
      </c>
      <c r="K687" s="142" t="str">
        <f>IF(ISNA(HLOOKUP("start",ESLData!C$1:C$9960,MATCH($A687,ESLData!$B$1:$B$9960,0))),"",HLOOKUP("start",ESLData!C$1:C$9960,MATCH($A687,ESLData!$B$1:$B$9960,0)))</f>
        <v>Resources Project</v>
      </c>
    </row>
    <row r="688" spans="1:11" ht="14.25" customHeight="1" x14ac:dyDescent="0.2">
      <c r="A688" s="144">
        <v>35700</v>
      </c>
      <c r="C688" s="143">
        <f>HLOOKUP("start",ESLData!E$1:E$9960,MATCH($A688,ESLData!$B$1:$B$9960,0))</f>
        <v>32355.599999999999</v>
      </c>
      <c r="E688" s="143">
        <f>HLOOKUP("start",ESLData!F$1:F$9960,MATCH($A688,ESLData!$B$1:$B$9960,0))</f>
        <v>31180</v>
      </c>
      <c r="G688" s="143">
        <f>HLOOKUP("start",ESLData!H$1:H$9960,MATCH($A688,ESLData!$B$1:$B$9960,0))</f>
        <v>31492.65</v>
      </c>
      <c r="I688" s="146"/>
      <c r="J688" s="156" t="s">
        <v>987</v>
      </c>
      <c r="K688" s="142" t="str">
        <f>IF(ISNA(HLOOKUP("start",ESLData!C$1:C$9960,MATCH($A688,ESLData!$B$1:$B$9960,0))),"",HLOOKUP("start",ESLData!C$1:C$9960,MATCH($A688,ESLData!$B$1:$B$9960,0)))</f>
        <v>Salaries</v>
      </c>
    </row>
    <row r="689" spans="1:11" ht="14.25" customHeight="1" x14ac:dyDescent="0.2">
      <c r="A689" s="144">
        <v>35800</v>
      </c>
      <c r="C689" s="143">
        <f>HLOOKUP("start",ESLData!E$1:E$9960,MATCH($A689,ESLData!$B$1:$B$9960,0))</f>
        <v>40121.760000000002</v>
      </c>
      <c r="E689" s="143">
        <f>HLOOKUP("start",ESLData!F$1:F$9960,MATCH($A689,ESLData!$B$1:$B$9960,0))</f>
        <v>44600</v>
      </c>
      <c r="G689" s="143">
        <f>HLOOKUP("start",ESLData!H$1:H$9960,MATCH($A689,ESLData!$B$1:$B$9960,0))</f>
        <v>41678.28</v>
      </c>
      <c r="I689" s="146"/>
      <c r="J689" s="156" t="s">
        <v>987</v>
      </c>
      <c r="K689" s="142" t="str">
        <f>IF(ISNA(HLOOKUP("start",ESLData!C$1:C$9960,MATCH($A689,ESLData!$B$1:$B$9960,0))),"",HLOOKUP("start",ESLData!C$1:C$9960,MATCH($A689,ESLData!$B$1:$B$9960,0)))</f>
        <v>ITM - Salary</v>
      </c>
    </row>
    <row r="690" spans="1:11" ht="14.25" customHeight="1" x14ac:dyDescent="0.2">
      <c r="A690" s="144">
        <v>35805</v>
      </c>
      <c r="C690" s="143">
        <f>HLOOKUP("start",ESLData!E$1:E$9960,MATCH($A690,ESLData!$B$1:$B$9960,0))</f>
        <v>0</v>
      </c>
      <c r="E690" s="143">
        <f>HLOOKUP("start",ESLData!F$1:F$9960,MATCH($A690,ESLData!$B$1:$B$9960,0))</f>
        <v>150</v>
      </c>
      <c r="G690" s="143">
        <f>HLOOKUP("start",ESLData!H$1:H$9960,MATCH($A690,ESLData!$B$1:$B$9960,0))</f>
        <v>150</v>
      </c>
      <c r="J690" s="156" t="s">
        <v>987</v>
      </c>
      <c r="K690" s="142" t="str">
        <f>IF(ISNA(HLOOKUP("start",ESLData!C$1:C$9960,MATCH($A690,ESLData!$B$1:$B$9960,0))),"",HLOOKUP("start",ESLData!C$1:C$9960,MATCH($A690,ESLData!$B$1:$B$9960,0)))</f>
        <v>Music School - Acc</v>
      </c>
    </row>
    <row r="691" spans="1:11" ht="14.25" customHeight="1" x14ac:dyDescent="0.2">
      <c r="A691" s="144">
        <v>36007</v>
      </c>
      <c r="C691" s="143">
        <f>HLOOKUP("start",ESLData!E$1:E$9960,MATCH($A691,ESLData!$B$1:$B$9960,0))</f>
        <v>0</v>
      </c>
      <c r="E691" s="143">
        <f>HLOOKUP("start",ESLData!F$1:F$9960,MATCH($A691,ESLData!$B$1:$B$9960,0))</f>
        <v>0</v>
      </c>
      <c r="G691" s="143">
        <f>HLOOKUP("start",ESLData!H$1:H$9960,MATCH($A691,ESLData!$B$1:$B$9960,0))</f>
        <v>0</v>
      </c>
      <c r="J691" s="156" t="s">
        <v>987</v>
      </c>
      <c r="K691" s="142" t="str">
        <f>IF(ISNA(HLOOKUP("start",ESLData!C$1:C$9960,MATCH($A691,ESLData!$B$1:$B$9960,0))),"",HLOOKUP("start",ESLData!C$1:C$9960,MATCH($A691,ESLData!$B$1:$B$9960,0)))</f>
        <v>BELS - Salaries - Teaching Staff</v>
      </c>
    </row>
    <row r="692" spans="1:11" ht="14.25" customHeight="1" x14ac:dyDescent="0.2">
      <c r="A692" s="144">
        <v>36008</v>
      </c>
      <c r="C692" s="143">
        <f>HLOOKUP("start",ESLData!E$1:E$9960,MATCH($A692,ESLData!$B$1:$B$9960,0))</f>
        <v>3171.33</v>
      </c>
      <c r="E692" s="143">
        <f>HLOOKUP("start",ESLData!F$1:F$9960,MATCH($A692,ESLData!$B$1:$B$9960,0))</f>
        <v>7900</v>
      </c>
      <c r="G692" s="143">
        <f>HLOOKUP("start",ESLData!H$1:H$9960,MATCH($A692,ESLData!$B$1:$B$9960,0))</f>
        <v>37465.230000000003</v>
      </c>
      <c r="J692" s="156" t="s">
        <v>987</v>
      </c>
      <c r="K692" s="142" t="str">
        <f>IF(ISNA(HLOOKUP("start",ESLData!C$1:C$9960,MATCH($A692,ESLData!$B$1:$B$9960,0))),"",HLOOKUP("start",ESLData!C$1:C$9960,MATCH($A692,ESLData!$B$1:$B$9960,0)))</f>
        <v>BELS - Salaries - ESWs</v>
      </c>
    </row>
    <row r="693" spans="1:11" ht="14.25" customHeight="1" x14ac:dyDescent="0.2">
      <c r="A693" s="144">
        <v>36009</v>
      </c>
      <c r="C693" s="143">
        <f>HLOOKUP("start",ESLData!E$1:E$9960,MATCH($A693,ESLData!$B$1:$B$9960,0))</f>
        <v>64</v>
      </c>
      <c r="E693" s="143">
        <f>HLOOKUP("start",ESLData!F$1:F$9960,MATCH($A693,ESLData!$B$1:$B$9960,0))</f>
        <v>500</v>
      </c>
      <c r="G693" s="143">
        <f>HLOOKUP("start",ESLData!H$1:H$9960,MATCH($A693,ESLData!$B$1:$B$9960,0))</f>
        <v>0</v>
      </c>
      <c r="J693" s="156" t="s">
        <v>987</v>
      </c>
      <c r="K693" s="142" t="str">
        <f>IF(ISNA(HLOOKUP("start",ESLData!C$1:C$9960,MATCH($A693,ESLData!$B$1:$B$9960,0))),"",HLOOKUP("start",ESLData!C$1:C$9960,MATCH($A693,ESLData!$B$1:$B$9960,0)))</f>
        <v>Tactile Resources</v>
      </c>
    </row>
    <row r="694" spans="1:11" ht="14.25" customHeight="1" x14ac:dyDescent="0.2">
      <c r="A694" s="144">
        <v>36010</v>
      </c>
      <c r="C694" s="143">
        <f>HLOOKUP("start",ESLData!E$1:E$9960,MATCH($A694,ESLData!$B$1:$B$9960,0))</f>
        <v>680</v>
      </c>
      <c r="E694" s="143">
        <f>HLOOKUP("start",ESLData!F$1:F$9960,MATCH($A694,ESLData!$B$1:$B$9960,0))</f>
        <v>6500</v>
      </c>
      <c r="G694" s="143">
        <f>HLOOKUP("start",ESLData!H$1:H$9960,MATCH($A694,ESLData!$B$1:$B$9960,0))</f>
        <v>0</v>
      </c>
      <c r="J694" s="156" t="s">
        <v>987</v>
      </c>
      <c r="K694" s="142" t="str">
        <f>IF(ISNA(HLOOKUP("start",ESLData!C$1:C$9960,MATCH($A694,ESLData!$B$1:$B$9960,0))),"",HLOOKUP("start",ESLData!C$1:C$9960,MATCH($A694,ESLData!$B$1:$B$9960,0)))</f>
        <v>BELS - Salaries - Immersion RTV Release Days</v>
      </c>
    </row>
    <row r="695" spans="1:11" ht="14.25" customHeight="1" x14ac:dyDescent="0.2">
      <c r="A695" s="144">
        <v>36012</v>
      </c>
      <c r="C695" s="143">
        <f>HLOOKUP("start",ESLData!E$1:E$9960,MATCH($A695,ESLData!$B$1:$B$9960,0))</f>
        <v>308</v>
      </c>
      <c r="E695" s="143">
        <f>HLOOKUP("start",ESLData!F$1:F$9960,MATCH($A695,ESLData!$B$1:$B$9960,0))</f>
        <v>308</v>
      </c>
      <c r="G695" s="143">
        <f>HLOOKUP("start",ESLData!H$1:H$9960,MATCH($A695,ESLData!$B$1:$B$9960,0))</f>
        <v>946.09</v>
      </c>
      <c r="J695" s="156" t="s">
        <v>987</v>
      </c>
      <c r="K695" s="142" t="str">
        <f>IF(ISNA(HLOOKUP("start",ESLData!C$1:C$9960,MATCH($A695,ESLData!$B$1:$B$9960,0))),"",HLOOKUP("start",ESLData!C$1:C$9960,MATCH($A695,ESLData!$B$1:$B$9960,0)))</f>
        <v>BELS - ACC</v>
      </c>
    </row>
    <row r="696" spans="1:11" ht="14.25" customHeight="1" x14ac:dyDescent="0.2">
      <c r="A696" s="144">
        <v>37141</v>
      </c>
      <c r="C696" s="143">
        <f>HLOOKUP("start",ESLData!E$1:E$9960,MATCH($A696,ESLData!$B$1:$B$9960,0))</f>
        <v>0</v>
      </c>
      <c r="E696" s="143">
        <f>HLOOKUP("start",ESLData!F$1:F$9960,MATCH($A696,ESLData!$B$1:$B$9960,0))</f>
        <v>0</v>
      </c>
      <c r="G696" s="143">
        <f>HLOOKUP("start",ESLData!H$1:H$9960,MATCH($A696,ESLData!$B$1:$B$9960,0))</f>
        <v>0</v>
      </c>
      <c r="J696" s="156" t="s">
        <v>987</v>
      </c>
      <c r="K696" s="142" t="str">
        <f>IF(ISNA(HLOOKUP("start",ESLData!C$1:C$9960,MATCH($A696,ESLData!$B$1:$B$9960,0))),"",HLOOKUP("start",ESLData!C$1:C$9960,MATCH($A696,ESLData!$B$1:$B$9960,0)))</f>
        <v>Music Therapist</v>
      </c>
    </row>
    <row r="697" spans="1:11" ht="14.25" customHeight="1" x14ac:dyDescent="0.2">
      <c r="A697" s="145">
        <v>37300</v>
      </c>
      <c r="C697" s="143">
        <f>HLOOKUP("start",ESLData!E$1:E$9960,MATCH($A697,ESLData!$B$1:$B$9960,0))</f>
        <v>174.5</v>
      </c>
      <c r="E697" s="143">
        <f>HLOOKUP("start",ESLData!F$1:F$9960,MATCH($A697,ESLData!$B$1:$B$9960,0))</f>
        <v>0</v>
      </c>
      <c r="G697" s="143">
        <f>HLOOKUP("start",ESLData!H$1:H$9960,MATCH($A697,ESLData!$B$1:$B$9960,0))</f>
        <v>31058.880000000001</v>
      </c>
      <c r="J697" s="156" t="s">
        <v>987</v>
      </c>
      <c r="K697" s="142" t="str">
        <f>IF(ISNA(HLOOKUP("start",ESLData!C$1:C$9960,MATCH($A697,ESLData!$B$1:$B$9960,0))),"",HLOOKUP("start",ESLData!C$1:C$9960,MATCH($A697,ESLData!$B$1:$B$9960,0)))</f>
        <v>Salaries</v>
      </c>
    </row>
    <row r="698" spans="1:11" ht="14.25" customHeight="1" x14ac:dyDescent="0.2">
      <c r="A698" s="145">
        <v>37306</v>
      </c>
      <c r="C698" s="143">
        <f>HLOOKUP("start",ESLData!E$1:E$9960,MATCH($A698,ESLData!$B$1:$B$9960,0))</f>
        <v>4105.87</v>
      </c>
      <c r="E698" s="143">
        <f>HLOOKUP("start",ESLData!F$1:F$9960,MATCH($A698,ESLData!$B$1:$B$9960,0))</f>
        <v>13000</v>
      </c>
      <c r="G698" s="143">
        <f>HLOOKUP("start",ESLData!H$1:H$9960,MATCH($A698,ESLData!$B$1:$B$9960,0))</f>
        <v>1754.9</v>
      </c>
      <c r="J698" s="156" t="s">
        <v>987</v>
      </c>
      <c r="K698" s="142" t="str">
        <f>IF(ISNA(HLOOKUP("start",ESLData!C$1:C$9960,MATCH($A698,ESLData!$B$1:$B$9960,0))),"",HLOOKUP("start",ESLData!C$1:C$9960,MATCH($A698,ESLData!$B$1:$B$9960,0)))</f>
        <v>Salaries - Relievers</v>
      </c>
    </row>
    <row r="699" spans="1:11" ht="14.25" customHeight="1" x14ac:dyDescent="0.2">
      <c r="A699" s="145">
        <v>36030</v>
      </c>
      <c r="C699" s="143">
        <f>HLOOKUP("start",ESLData!E$1:E$9960,MATCH($A699,ESLData!$B$1:$B$9960,0))</f>
        <v>10673.46</v>
      </c>
      <c r="E699" s="143">
        <f>HLOOKUP("start",ESLData!F$1:F$9960,MATCH($A699,ESLData!$B$1:$B$9960,0))</f>
        <v>7770</v>
      </c>
      <c r="G699" s="143">
        <f>HLOOKUP("start",ESLData!H$1:H$9960,MATCH($A699,ESLData!$B$1:$B$9960,0))</f>
        <v>189.16</v>
      </c>
      <c r="J699" s="156"/>
      <c r="K699" s="142" t="str">
        <f>IF(ISNA(HLOOKUP("start",ESLData!C$1:C$9960,MATCH($A699,ESLData!$B$1:$B$9960,0))),"",HLOOKUP("start",ESLData!C$1:C$9960,MATCH($A699,ESLData!$B$1:$B$9960,0)))</f>
        <v>Salaries - Relieving Teachers</v>
      </c>
    </row>
    <row r="700" spans="1:11" ht="14.25" customHeight="1" x14ac:dyDescent="0.2">
      <c r="A700" s="145">
        <v>37315</v>
      </c>
      <c r="C700" s="143">
        <f>HLOOKUP("start",ESLData!E$1:E$9960,MATCH($A700,ESLData!$B$1:$B$9960,0))</f>
        <v>0</v>
      </c>
      <c r="E700" s="143">
        <f>HLOOKUP("start",ESLData!F$1:F$9960,MATCH($A700,ESLData!$B$1:$B$9960,0))</f>
        <v>0</v>
      </c>
      <c r="F700" s="148"/>
      <c r="G700" s="143">
        <f>HLOOKUP("start",ESLData!H$1:H$9960,MATCH($A700,ESLData!$B$1:$B$9960,0))</f>
        <v>0</v>
      </c>
      <c r="J700" s="156" t="s">
        <v>987</v>
      </c>
      <c r="K700" s="142" t="str">
        <f>IF(ISNA(HLOOKUP("start",ESLData!C$1:C$9960,MATCH($A700,ESLData!$B$1:$B$9960,0))),"",HLOOKUP("start",ESLData!C$1:C$9960,MATCH($A700,ESLData!$B$1:$B$9960,0)))</f>
        <v>Relieving Teacher Days Nat Ass</v>
      </c>
    </row>
    <row r="701" spans="1:11" ht="14.25" customHeight="1" x14ac:dyDescent="0.2">
      <c r="A701" s="145">
        <v>37316</v>
      </c>
      <c r="C701" s="143">
        <f>HLOOKUP("start",ESLData!E$1:E$9960,MATCH($A701,ESLData!$B$1:$B$9960,0))</f>
        <v>485.87</v>
      </c>
      <c r="E701" s="143">
        <f>HLOOKUP("start",ESLData!F$1:F$9960,MATCH($A701,ESLData!$B$1:$B$9960,0))</f>
        <v>485</v>
      </c>
      <c r="G701" s="143">
        <f>HLOOKUP("start",ESLData!H$1:H$9960,MATCH($A701,ESLData!$B$1:$B$9960,0))</f>
        <v>410.43</v>
      </c>
      <c r="J701" s="156" t="s">
        <v>987</v>
      </c>
      <c r="K701" s="142" t="str">
        <f>IF(ISNA(HLOOKUP("start",ESLData!C$1:C$9960,MATCH($A701,ESLData!$B$1:$B$9960,0))),"",HLOOKUP("start",ESLData!C$1:C$9960,MATCH($A701,ESLData!$B$1:$B$9960,0)))</f>
        <v>Salaries Acc Nat Asses</v>
      </c>
    </row>
    <row r="702" spans="1:11" ht="14.25" customHeight="1" x14ac:dyDescent="0.2">
      <c r="A702" s="144">
        <v>37500</v>
      </c>
      <c r="C702" s="143">
        <f>HLOOKUP("start",ESLData!E$1:E$9960,MATCH($A702,ESLData!$B$1:$B$9960,0))</f>
        <v>14522.3</v>
      </c>
      <c r="E702" s="143">
        <f>HLOOKUP("start",ESLData!F$1:F$9960,MATCH($A702,ESLData!$B$1:$B$9960,0))</f>
        <v>13283</v>
      </c>
      <c r="G702" s="143">
        <f>HLOOKUP("start",ESLData!H$1:H$9960,MATCH($A702,ESLData!$B$1:$B$9960,0))</f>
        <v>13938.56</v>
      </c>
      <c r="J702" s="156" t="s">
        <v>987</v>
      </c>
      <c r="K702" s="142" t="str">
        <f>IF(ISNA(HLOOKUP("start",ESLData!C$1:C$9960,MATCH($A702,ESLData!$B$1:$B$9960,0))),"",HLOOKUP("start",ESLData!C$1:C$9960,MATCH($A702,ESLData!$B$1:$B$9960,0)))</f>
        <v>Salaries</v>
      </c>
    </row>
    <row r="703" spans="1:11" ht="14.25" customHeight="1" x14ac:dyDescent="0.2">
      <c r="A703" s="145">
        <v>37730</v>
      </c>
      <c r="C703" s="143">
        <f>HLOOKUP("start",ESLData!E$1:E$9960,MATCH($A703,ESLData!$B$1:$B$9960,0))</f>
        <v>0</v>
      </c>
      <c r="E703" s="143">
        <f>HLOOKUP("start",ESLData!F$1:F$9960,MATCH($A703,ESLData!$B$1:$B$9960,0))</f>
        <v>0</v>
      </c>
      <c r="G703" s="143">
        <f>HLOOKUP("start",ESLData!H$1:H$9960,MATCH($A703,ESLData!$B$1:$B$9960,0))</f>
        <v>17000</v>
      </c>
      <c r="J703" s="156" t="s">
        <v>987</v>
      </c>
      <c r="K703" s="142" t="str">
        <f>IF(ISNA(HLOOKUP("start",ESLData!C$1:C$9960,MATCH($A703,ESLData!$B$1:$B$9960,0))),"",HLOOKUP("start",ESLData!C$1:C$9960,MATCH($A703,ESLData!$B$1:$B$9960,0)))</f>
        <v>Distance Braille Training/Salaries</v>
      </c>
    </row>
    <row r="704" spans="1:11" ht="14.25" customHeight="1" x14ac:dyDescent="0.2">
      <c r="A704" s="145">
        <v>37731</v>
      </c>
      <c r="C704" s="143">
        <f>HLOOKUP("start",ESLData!E$1:E$9960,MATCH($A704,ESLData!$B$1:$B$9960,0))</f>
        <v>0</v>
      </c>
      <c r="E704" s="143">
        <f>HLOOKUP("start",ESLData!F$1:F$9960,MATCH($A704,ESLData!$B$1:$B$9960,0))</f>
        <v>2000</v>
      </c>
      <c r="G704" s="143">
        <f>HLOOKUP("start",ESLData!H$1:H$9960,MATCH($A704,ESLData!$B$1:$B$9960,0))</f>
        <v>0</v>
      </c>
      <c r="J704" s="156" t="s">
        <v>987</v>
      </c>
      <c r="K704" s="142" t="str">
        <f>IF(ISNA(HLOOKUP("start",ESLData!C$1:C$9960,MATCH($A704,ESLData!$B$1:$B$9960,0))),"",HLOOKUP("start",ESLData!C$1:C$9960,MATCH($A704,ESLData!$B$1:$B$9960,0)))</f>
        <v>Distance Braille - Exam Fees</v>
      </c>
    </row>
    <row r="705" spans="1:11" ht="14.25" customHeight="1" x14ac:dyDescent="0.2">
      <c r="A705" s="144">
        <v>39030</v>
      </c>
      <c r="C705" s="143">
        <f>HLOOKUP("start",ESLData!E$1:E$9960,MATCH($A705,ESLData!$B$1:$B$9960,0))</f>
        <v>51571.28</v>
      </c>
      <c r="E705" s="143">
        <f>HLOOKUP("start",ESLData!F$1:F$9960,MATCH($A705,ESLData!$B$1:$B$9960,0))</f>
        <v>49734</v>
      </c>
      <c r="G705" s="143">
        <f>HLOOKUP("start",ESLData!H$1:H$9960,MATCH($A705,ESLData!$B$1:$B$9960,0))</f>
        <v>41875.9</v>
      </c>
      <c r="J705" s="156" t="s">
        <v>987</v>
      </c>
      <c r="K705" s="142" t="str">
        <f>IF(ISNA(HLOOKUP("start",ESLData!C$1:C$9960,MATCH($A705,ESLData!$B$1:$B$9960,0))),"",HLOOKUP("start",ESLData!C$1:C$9960,MATCH($A705,ESLData!$B$1:$B$9960,0)))</f>
        <v>Hamilton - Salaries</v>
      </c>
    </row>
    <row r="706" spans="1:11" ht="14.25" customHeight="1" x14ac:dyDescent="0.2">
      <c r="A706" s="144">
        <v>39080</v>
      </c>
      <c r="C706" s="143">
        <f>HLOOKUP("start",ESLData!E$1:E$9960,MATCH($A706,ESLData!$B$1:$B$9960,0))</f>
        <v>127561.23</v>
      </c>
      <c r="E706" s="143">
        <f>HLOOKUP("start",ESLData!F$1:F$9960,MATCH($A706,ESLData!$B$1:$B$9960,0))</f>
        <v>136110</v>
      </c>
      <c r="G706" s="143">
        <f>HLOOKUP("start",ESLData!H$1:H$9960,MATCH($A706,ESLData!$B$1:$B$9960,0))</f>
        <v>110321.46</v>
      </c>
      <c r="J706" s="156" t="s">
        <v>987</v>
      </c>
      <c r="K706" s="142" t="str">
        <f>IF(ISNA(HLOOKUP("start",ESLData!C$1:C$9960,MATCH($A706,ESLData!$B$1:$B$9960,0))),"",HLOOKUP("start",ESLData!C$1:C$9960,MATCH($A706,ESLData!$B$1:$B$9960,0)))</f>
        <v>Christchurch - Salaries</v>
      </c>
    </row>
    <row r="707" spans="1:11" ht="14.25" customHeight="1" x14ac:dyDescent="0.2">
      <c r="A707" s="144">
        <v>39130</v>
      </c>
      <c r="C707" s="143">
        <f>HLOOKUP("start",ESLData!E$1:E$9960,MATCH($A707,ESLData!$B$1:$B$9960,0))</f>
        <v>21070.13</v>
      </c>
      <c r="E707" s="143">
        <f>HLOOKUP("start",ESLData!F$1:F$9960,MATCH($A707,ESLData!$B$1:$B$9960,0))</f>
        <v>24867</v>
      </c>
      <c r="G707" s="143">
        <f>HLOOKUP("start",ESLData!H$1:H$9960,MATCH($A707,ESLData!$B$1:$B$9960,0))</f>
        <v>23085.52</v>
      </c>
      <c r="J707" s="156" t="s">
        <v>987</v>
      </c>
      <c r="K707" s="142" t="str">
        <f>IF(ISNA(HLOOKUP("start",ESLData!C$1:C$9960,MATCH($A707,ESLData!$B$1:$B$9960,0))),"",HLOOKUP("start",ESLData!C$1:C$9960,MATCH($A707,ESLData!$B$1:$B$9960,0)))</f>
        <v>Gisbone - Salaries</v>
      </c>
    </row>
    <row r="708" spans="1:11" ht="14.25" customHeight="1" x14ac:dyDescent="0.2">
      <c r="A708" s="144">
        <v>39180</v>
      </c>
      <c r="C708" s="143">
        <f>HLOOKUP("start",ESLData!E$1:E$9960,MATCH($A708,ESLData!$B$1:$B$9960,0))</f>
        <v>66285.31</v>
      </c>
      <c r="E708" s="143">
        <f>HLOOKUP("start",ESLData!F$1:F$9960,MATCH($A708,ESLData!$B$1:$B$9960,0))</f>
        <v>63380</v>
      </c>
      <c r="G708" s="143">
        <f>HLOOKUP("start",ESLData!H$1:H$9960,MATCH($A708,ESLData!$B$1:$B$9960,0))</f>
        <v>52942.06</v>
      </c>
      <c r="J708" s="156" t="s">
        <v>987</v>
      </c>
      <c r="K708" s="142" t="str">
        <f>IF(ISNA(HLOOKUP("start",ESLData!C$1:C$9960,MATCH($A708,ESLData!$B$1:$B$9960,0))),"",HLOOKUP("start",ESLData!C$1:C$9960,MATCH($A708,ESLData!$B$1:$B$9960,0)))</f>
        <v>Salaries</v>
      </c>
    </row>
    <row r="709" spans="1:11" ht="14.25" customHeight="1" x14ac:dyDescent="0.2">
      <c r="A709" s="144">
        <v>39230</v>
      </c>
      <c r="C709" s="143">
        <f>HLOOKUP("start",ESLData!E$1:E$9960,MATCH($A709,ESLData!$B$1:$B$9960,0))</f>
        <v>33658.269999999997</v>
      </c>
      <c r="E709" s="143">
        <f>HLOOKUP("start",ESLData!F$1:F$9960,MATCH($A709,ESLData!$B$1:$B$9960,0))</f>
        <v>35167</v>
      </c>
      <c r="G709" s="143">
        <f>HLOOKUP("start",ESLData!H$1:H$9960,MATCH($A709,ESLData!$B$1:$B$9960,0))</f>
        <v>36557.629999999997</v>
      </c>
      <c r="J709" s="156" t="s">
        <v>987</v>
      </c>
      <c r="K709" s="142" t="str">
        <f>IF(ISNA(HLOOKUP("start",ESLData!C$1:C$9960,MATCH($A709,ESLData!$B$1:$B$9960,0))),"",HLOOKUP("start",ESLData!C$1:C$9960,MATCH($A709,ESLData!$B$1:$B$9960,0)))</f>
        <v>Napier - Salaries</v>
      </c>
    </row>
    <row r="710" spans="1:11" ht="14.25" customHeight="1" x14ac:dyDescent="0.2">
      <c r="A710" s="144">
        <v>39280</v>
      </c>
      <c r="C710" s="143">
        <f>HLOOKUP("start",ESLData!E$1:E$9960,MATCH($A710,ESLData!$B$1:$B$9960,0))</f>
        <v>45452.56</v>
      </c>
      <c r="E710" s="143">
        <f>HLOOKUP("start",ESLData!F$1:F$9960,MATCH($A710,ESLData!$B$1:$B$9960,0))</f>
        <v>49734</v>
      </c>
      <c r="G710" s="143">
        <f>HLOOKUP("start",ESLData!H$1:H$9960,MATCH($A710,ESLData!$B$1:$B$9960,0))</f>
        <v>33655.08</v>
      </c>
      <c r="J710" s="156" t="s">
        <v>987</v>
      </c>
      <c r="K710" s="142" t="str">
        <f>IF(ISNA(HLOOKUP("start",ESLData!C$1:C$9960,MATCH($A710,ESLData!$B$1:$B$9960,0))),"",HLOOKUP("start",ESLData!C$1:C$9960,MATCH($A710,ESLData!$B$1:$B$9960,0)))</f>
        <v>Palmerston North - Salaries</v>
      </c>
    </row>
    <row r="711" spans="1:11" ht="14.25" customHeight="1" x14ac:dyDescent="0.2">
      <c r="A711" s="144">
        <v>39330</v>
      </c>
      <c r="C711" s="143">
        <f>HLOOKUP("start",ESLData!E$1:E$9960,MATCH($A711,ESLData!$B$1:$B$9960,0))</f>
        <v>56100.73</v>
      </c>
      <c r="E711" s="143">
        <f>HLOOKUP("start",ESLData!F$1:F$9960,MATCH($A711,ESLData!$B$1:$B$9960,0))</f>
        <v>53364</v>
      </c>
      <c r="G711" s="143">
        <f>HLOOKUP("start",ESLData!H$1:H$9960,MATCH($A711,ESLData!$B$1:$B$9960,0))</f>
        <v>47529.86</v>
      </c>
      <c r="J711" s="156" t="s">
        <v>987</v>
      </c>
      <c r="K711" s="142" t="str">
        <f>IF(ISNA(HLOOKUP("start",ESLData!C$1:C$9960,MATCH($A711,ESLData!$B$1:$B$9960,0))),"",HLOOKUP("start",ESLData!C$1:C$9960,MATCH($A711,ESLData!$B$1:$B$9960,0)))</f>
        <v>Tauranga - Salaries</v>
      </c>
    </row>
    <row r="712" spans="1:11" ht="14.25" customHeight="1" x14ac:dyDescent="0.2">
      <c r="A712" s="144">
        <v>39380</v>
      </c>
      <c r="C712" s="143">
        <f>HLOOKUP("start",ESLData!E$1:E$9960,MATCH($A712,ESLData!$B$1:$B$9960,0))</f>
        <v>52846.55</v>
      </c>
      <c r="E712" s="143">
        <f>HLOOKUP("start",ESLData!F$1:F$9960,MATCH($A712,ESLData!$B$1:$B$9960,0))</f>
        <v>49568</v>
      </c>
      <c r="G712" s="143">
        <f>HLOOKUP("start",ESLData!H$1:H$9960,MATCH($A712,ESLData!$B$1:$B$9960,0))</f>
        <v>50055.05</v>
      </c>
      <c r="J712" s="156" t="s">
        <v>987</v>
      </c>
      <c r="K712" s="142" t="str">
        <f>IF(ISNA(HLOOKUP("start",ESLData!C$1:C$9960,MATCH($A712,ESLData!$B$1:$B$9960,0))),"",HLOOKUP("start",ESLData!C$1:C$9960,MATCH($A712,ESLData!$B$1:$B$9960,0)))</f>
        <v>New Plymouth - Salaries</v>
      </c>
    </row>
    <row r="713" spans="1:11" ht="14.25" customHeight="1" x14ac:dyDescent="0.2">
      <c r="A713" s="144">
        <v>39500</v>
      </c>
      <c r="C713" s="143">
        <f>HLOOKUP("start",ESLData!E$1:E$9960,MATCH($A713,ESLData!$B$1:$B$9960,0))</f>
        <v>50203.54</v>
      </c>
      <c r="E713" s="143">
        <f>HLOOKUP("start",ESLData!F$1:F$9960,MATCH($A713,ESLData!$B$1:$B$9960,0))</f>
        <v>39620</v>
      </c>
      <c r="G713" s="143">
        <f>HLOOKUP("start",ESLData!H$1:H$9960,MATCH($A713,ESLData!$B$1:$B$9960,0))</f>
        <v>46771.26</v>
      </c>
      <c r="J713" s="156" t="s">
        <v>987</v>
      </c>
      <c r="K713" s="142" t="str">
        <f>IF(ISNA(HLOOKUP("start",ESLData!C$1:C$9960,MATCH($A713,ESLData!$B$1:$B$9960,0))),"",HLOOKUP("start",ESLData!C$1:C$9960,MATCH($A713,ESLData!$B$1:$B$9960,0)))</f>
        <v>Salaries</v>
      </c>
    </row>
    <row r="714" spans="1:11" ht="14.25" customHeight="1" x14ac:dyDescent="0.2">
      <c r="A714" s="144">
        <v>40001</v>
      </c>
      <c r="C714" s="143">
        <f>HLOOKUP("start",ESLData!E$1:E$9960,MATCH($A714,ESLData!$B$1:$B$9960,0))</f>
        <v>178267.92</v>
      </c>
      <c r="E714" s="143">
        <f>HLOOKUP("start",ESLData!F$1:F$9960,MATCH($A714,ESLData!$B$1:$B$9960,0))</f>
        <v>182000</v>
      </c>
      <c r="G714" s="143">
        <f>HLOOKUP("start",ESLData!H$1:H$9960,MATCH($A714,ESLData!$B$1:$B$9960,0))</f>
        <v>0</v>
      </c>
      <c r="J714" s="156"/>
    </row>
    <row r="715" spans="1:11" ht="14.25" customHeight="1" x14ac:dyDescent="0.2">
      <c r="A715" s="144">
        <v>41001</v>
      </c>
      <c r="C715" s="143">
        <f>HLOOKUP("start",ESLData!E$1:E$9960,MATCH($A715,ESLData!$B$1:$B$9960,0))</f>
        <v>188761.21</v>
      </c>
      <c r="E715" s="143">
        <f>HLOOKUP("start",ESLData!F$1:F$9960,MATCH($A715,ESLData!$B$1:$B$9960,0))</f>
        <v>250200</v>
      </c>
      <c r="G715" s="143">
        <f>HLOOKUP("start",ESLData!H$1:H$9960,MATCH($A715,ESLData!$B$1:$B$9960,0))</f>
        <v>0</v>
      </c>
      <c r="J715" s="156"/>
    </row>
    <row r="716" spans="1:11" ht="14.25" customHeight="1" x14ac:dyDescent="0.2">
      <c r="A716" s="144">
        <v>60000</v>
      </c>
      <c r="C716" s="143">
        <f>HLOOKUP("start",ESLData!E$1:E$9960,MATCH($A716,ESLData!$B$1:$B$9960,0))</f>
        <v>1019405.8</v>
      </c>
      <c r="E716" s="143">
        <f>HLOOKUP("start",ESLData!F$1:F$9960,MATCH($A716,ESLData!$B$1:$B$9960,0))</f>
        <v>1005151</v>
      </c>
      <c r="G716" s="143">
        <f>HLOOKUP("start",ESLData!H$1:H$9960,MATCH($A716,ESLData!$B$1:$B$9960,0))</f>
        <v>887865.12</v>
      </c>
      <c r="J716" s="156" t="s">
        <v>987</v>
      </c>
      <c r="K716" s="142" t="str">
        <f>IF(ISNA(HLOOKUP("start",ESLData!C$1:C$9960,MATCH($A716,ESLData!$B$1:$B$9960,0))),"",HLOOKUP("start",ESLData!C$1:C$9960,MATCH($A716,ESLData!$B$1:$B$9960,0)))</f>
        <v>Staffing: O&amp;M</v>
      </c>
    </row>
    <row r="717" spans="1:11" ht="14.25" customHeight="1" x14ac:dyDescent="0.2">
      <c r="A717" s="144">
        <v>60300</v>
      </c>
      <c r="C717" s="143">
        <f>HLOOKUP("start",ESLData!E$1:E$9960,MATCH($A717,ESLData!$B$1:$B$9960,0))</f>
        <v>2813</v>
      </c>
      <c r="D717" s="148"/>
      <c r="E717" s="143">
        <f>HLOOKUP("start",ESLData!F$1:F$9960,MATCH($A717,ESLData!$B$1:$B$9960,0))</f>
        <v>2813</v>
      </c>
      <c r="G717" s="143">
        <f>HLOOKUP("start",ESLData!H$1:H$9960,MATCH($A717,ESLData!$B$1:$B$9960,0))</f>
        <v>2182.61</v>
      </c>
      <c r="J717" s="156" t="s">
        <v>987</v>
      </c>
      <c r="K717" s="142" t="str">
        <f>IF(ISNA(HLOOKUP("start",ESLData!C$1:C$9960,MATCH($A717,ESLData!$B$1:$B$9960,0))),"",HLOOKUP("start",ESLData!C$1:C$9960,MATCH($A717,ESLData!$B$1:$B$9960,0)))</f>
        <v>Acc</v>
      </c>
    </row>
    <row r="718" spans="1:11" ht="14.25" customHeight="1" x14ac:dyDescent="0.2">
      <c r="A718" s="144">
        <v>61305</v>
      </c>
      <c r="C718" s="143">
        <f>HLOOKUP("start",ESLData!E$1:E$9960,MATCH($A718,ESLData!$B$1:$B$9960,0))</f>
        <v>70097.73</v>
      </c>
      <c r="D718" s="148"/>
      <c r="E718" s="143">
        <f>HLOOKUP("start",ESLData!F$1:F$9960,MATCH($A718,ESLData!$B$1:$B$9960,0))</f>
        <v>126000</v>
      </c>
      <c r="G718" s="143">
        <f>HLOOKUP("start",ESLData!H$1:H$9960,MATCH($A718,ESLData!$B$1:$B$9960,0))</f>
        <v>12874.29</v>
      </c>
      <c r="J718" s="156" t="s">
        <v>987</v>
      </c>
      <c r="K718" s="142" t="str">
        <f>IF(ISNA(HLOOKUP("start",ESLData!C$1:C$9960,MATCH($A718,ESLData!$B$1:$B$9960,0))),"",HLOOKUP("start",ESLData!C$1:C$9960,MATCH($A718,ESLData!$B$1:$B$9960,0)))</f>
        <v>Staffing</v>
      </c>
    </row>
    <row r="719" spans="1:11" ht="14.25" customHeight="1" x14ac:dyDescent="0.2">
      <c r="A719" s="144">
        <v>61800</v>
      </c>
      <c r="C719" s="143">
        <f>HLOOKUP("start",ESLData!E$1:E$9960,MATCH($A719,ESLData!$B$1:$B$9960,0))</f>
        <v>12.91</v>
      </c>
      <c r="E719" s="143">
        <f>HLOOKUP("start",ESLData!F$1:F$9960,MATCH($A719,ESLData!$B$1:$B$9960,0))</f>
        <v>10000</v>
      </c>
      <c r="G719" s="143">
        <f>HLOOKUP("start",ESLData!H$1:H$9960,MATCH($A719,ESLData!$B$1:$B$9960,0))</f>
        <v>16.43</v>
      </c>
      <c r="J719" s="156" t="s">
        <v>987</v>
      </c>
      <c r="K719" s="142" t="str">
        <f>IF(ISNA(HLOOKUP("start",ESLData!C$1:C$9960,MATCH($A719,ESLData!$B$1:$B$9960,0))),"",HLOOKUP("start",ESLData!C$1:C$9960,MATCH($A719,ESLData!$B$1:$B$9960,0)))</f>
        <v>RTV Course Release</v>
      </c>
    </row>
    <row r="720" spans="1:11" ht="14.25" customHeight="1" x14ac:dyDescent="0.2">
      <c r="A720" s="144">
        <v>62500</v>
      </c>
      <c r="C720" s="143">
        <f>HLOOKUP("start",ESLData!E$1:E$9960,MATCH($A720,ESLData!$B$1:$B$9960,0))</f>
        <v>78746.740000000005</v>
      </c>
      <c r="E720" s="143">
        <f>HLOOKUP("start",ESLData!F$1:F$9960,MATCH($A720,ESLData!$B$1:$B$9960,0))</f>
        <v>70211</v>
      </c>
      <c r="G720" s="143">
        <f>HLOOKUP("start",ESLData!H$1:H$9960,MATCH($A720,ESLData!$B$1:$B$9960,0))</f>
        <v>79598.45</v>
      </c>
      <c r="J720" s="156"/>
      <c r="K720" s="142" t="str">
        <f>IF(ISNA(HLOOKUP("start",ESLData!C$1:C$9960,MATCH($A720,ESLData!$B$1:$B$9960,0))),"",HLOOKUP("start",ESLData!C$1:C$9960,MATCH($A720,ESLData!$B$1:$B$9960,0)))</f>
        <v>Salaries</v>
      </c>
    </row>
    <row r="721" spans="1:11" ht="14.25" customHeight="1" x14ac:dyDescent="0.2">
      <c r="A721" s="144">
        <v>63500</v>
      </c>
      <c r="C721" s="143">
        <f>HLOOKUP("start",ESLData!E$1:E$9960,MATCH($A721,ESLData!$B$1:$B$9960,0))</f>
        <v>41672.730000000003</v>
      </c>
      <c r="E721" s="143">
        <f>HLOOKUP("start",ESLData!F$1:F$9960,MATCH($A721,ESLData!$B$1:$B$9960,0))</f>
        <v>38477</v>
      </c>
      <c r="G721" s="143">
        <f>HLOOKUP("start",ESLData!H$1:H$9960,MATCH($A721,ESLData!$B$1:$B$9960,0))</f>
        <v>37865.410000000003</v>
      </c>
      <c r="J721" s="156" t="s">
        <v>987</v>
      </c>
      <c r="K721" s="142" t="str">
        <f>IF(ISNA(HLOOKUP("start",ESLData!C$1:C$9960,MATCH($A721,ESLData!$B$1:$B$9960,0))),"",HLOOKUP("start",ESLData!C$1:C$9960,MATCH($A721,ESLData!$B$1:$B$9960,0)))</f>
        <v>Northland - Salaries</v>
      </c>
    </row>
    <row r="722" spans="1:11" ht="14.25" customHeight="1" x14ac:dyDescent="0.2">
      <c r="A722" s="144">
        <v>64500</v>
      </c>
      <c r="C722" s="143">
        <f>HLOOKUP("start",ESLData!E$1:E$9960,MATCH($A722,ESLData!$B$1:$B$9960,0))</f>
        <v>27731.27</v>
      </c>
      <c r="D722" s="162">
        <f>ROUND(SUM(C679:C722),0)</f>
        <v>2479427</v>
      </c>
      <c r="E722" s="143">
        <f>HLOOKUP("start",ESLData!F$1:F$9960,MATCH($A722,ESLData!$B$1:$B$9960,0))</f>
        <v>24867</v>
      </c>
      <c r="F722" s="155">
        <f>ROUND(SUM(E679:E722),0)</f>
        <v>2636878</v>
      </c>
      <c r="G722" s="143">
        <f>HLOOKUP("start",ESLData!H$1:H$9960,MATCH($A722,ESLData!$B$1:$B$9960,0))</f>
        <v>22650.94</v>
      </c>
      <c r="H722" s="162">
        <f>ROUND(SUM(G679:G722),0)</f>
        <v>1989063</v>
      </c>
      <c r="J722" s="156" t="s">
        <v>987</v>
      </c>
      <c r="K722" s="142" t="str">
        <f>IF(ISNA(HLOOKUP("start",ESLData!C$1:C$9960,MATCH($A722,ESLData!$B$1:$B$9960,0))),"",HLOOKUP("start",ESLData!C$1:C$9960,MATCH($A722,ESLData!$B$1:$B$9960,0)))</f>
        <v>Salaries</v>
      </c>
    </row>
    <row r="723" spans="1:11" ht="14.25" customHeight="1" x14ac:dyDescent="0.2">
      <c r="C723" s="143"/>
      <c r="D723" s="155"/>
      <c r="E723" s="143"/>
      <c r="F723" s="155"/>
      <c r="G723" s="143"/>
      <c r="H723" s="155"/>
      <c r="J723" s="146"/>
    </row>
    <row r="724" spans="1:11" ht="14.25" customHeight="1" x14ac:dyDescent="0.2">
      <c r="C724" s="143"/>
      <c r="D724" s="155"/>
      <c r="E724" s="143"/>
      <c r="F724" s="155"/>
      <c r="G724" s="143"/>
      <c r="H724" s="155"/>
      <c r="J724" s="146"/>
    </row>
    <row r="725" spans="1:11" s="152" customFormat="1" ht="14.25" customHeight="1" x14ac:dyDescent="0.2">
      <c r="A725" s="147" t="s">
        <v>419</v>
      </c>
      <c r="C725" s="153"/>
      <c r="E725" s="153"/>
      <c r="G725" s="153"/>
      <c r="J725" s="146"/>
      <c r="K725" s="142" t="str">
        <f>IF(ISNA(HLOOKUP("start",ESLData!C$1:C$9960,MATCH($A725,ESLData!$B$1:$B$9960,0))),"",HLOOKUP("start",ESLData!C$1:C$9960,MATCH($A725,ESLData!$B$1:$B$9960,0)))</f>
        <v/>
      </c>
    </row>
    <row r="726" spans="1:11" ht="14.25" customHeight="1" x14ac:dyDescent="0.2">
      <c r="A726" s="145">
        <v>25150</v>
      </c>
      <c r="C726" s="143">
        <f>HLOOKUP("start",ESLData!E$1:E$9960,MATCH($A726,ESLData!$B$1:$B$9960,0))</f>
        <v>387388.87</v>
      </c>
      <c r="E726" s="143">
        <f>HLOOKUP("start",ESLData!F$1:F$9960,MATCH($A726,ESLData!$B$1:$B$9960,0))</f>
        <v>297000</v>
      </c>
      <c r="G726" s="143">
        <f>HLOOKUP("start",ESLData!H$1:H$9960,MATCH($A726,ESLData!$B$1:$B$9960,0))</f>
        <v>300994.21000000002</v>
      </c>
      <c r="J726" s="156" t="s">
        <v>987</v>
      </c>
      <c r="K726" s="142" t="str">
        <f>IF(ISNA(HLOOKUP("start",ESLData!C$1:C$9960,MATCH($A726,ESLData!$B$1:$B$9960,0))),"",HLOOKUP("start",ESLData!C$1:C$9960,MATCH($A726,ESLData!$B$1:$B$9960,0)))</f>
        <v>MOE Study Award Expenses</v>
      </c>
    </row>
    <row r="727" spans="1:11" ht="14.25" customHeight="1" x14ac:dyDescent="0.2">
      <c r="A727" s="144">
        <v>34770</v>
      </c>
      <c r="C727" s="143">
        <f>HLOOKUP("start",ESLData!E$1:E$9960,MATCH($A727,ESLData!$B$1:$B$9960,0))</f>
        <v>1027.99</v>
      </c>
      <c r="E727" s="143">
        <f>HLOOKUP("start",ESLData!F$1:F$9960,MATCH($A727,ESLData!$B$1:$B$9960,0))</f>
        <v>800</v>
      </c>
      <c r="G727" s="143">
        <f>HLOOKUP("start",ESLData!H$1:H$9960,MATCH($A727,ESLData!$B$1:$B$9960,0))</f>
        <v>0</v>
      </c>
      <c r="J727" s="156" t="s">
        <v>987</v>
      </c>
      <c r="K727" s="142" t="str">
        <f>IF(ISNA(HLOOKUP("start",ESLData!C$1:C$9960,MATCH($A727,ESLData!$B$1:$B$9960,0))),"",HLOOKUP("start",ESLData!C$1:C$9960,MATCH($A727,ESLData!$B$1:$B$9960,0)))</f>
        <v>Staff Training/Conferences</v>
      </c>
    </row>
    <row r="728" spans="1:11" ht="14.25" customHeight="1" x14ac:dyDescent="0.2">
      <c r="A728" s="144">
        <v>34870</v>
      </c>
      <c r="C728" s="143">
        <f>HLOOKUP("start",ESLData!E$1:E$9960,MATCH($A728,ESLData!$B$1:$B$9960,0))</f>
        <v>396.9</v>
      </c>
      <c r="E728" s="143">
        <f>HLOOKUP("start",ESLData!F$1:F$9960,MATCH($A728,ESLData!$B$1:$B$9960,0))</f>
        <v>800</v>
      </c>
      <c r="G728" s="143">
        <f>HLOOKUP("start",ESLData!H$1:H$9960,MATCH($A728,ESLData!$B$1:$B$9960,0))</f>
        <v>566.71</v>
      </c>
      <c r="J728" s="156" t="s">
        <v>987</v>
      </c>
      <c r="K728" s="142" t="str">
        <f>IF(ISNA(HLOOKUP("start",ESLData!C$1:C$9960,MATCH($A728,ESLData!$B$1:$B$9960,0))),"",HLOOKUP("start",ESLData!C$1:C$9960,MATCH($A728,ESLData!$B$1:$B$9960,0)))</f>
        <v>Staff Training/Conferences</v>
      </c>
    </row>
    <row r="729" spans="1:11" ht="14.25" customHeight="1" x14ac:dyDescent="0.2">
      <c r="A729" s="144">
        <v>35070</v>
      </c>
      <c r="C729" s="143">
        <f>HLOOKUP("start",ESLData!E$1:E$9960,MATCH($A729,ESLData!$B$1:$B$9960,0))</f>
        <v>33.909999999999997</v>
      </c>
      <c r="D729" s="148"/>
      <c r="E729" s="143">
        <f>HLOOKUP("start",ESLData!F$1:F$9960,MATCH($A729,ESLData!$B$1:$B$9960,0))</f>
        <v>500</v>
      </c>
      <c r="F729" s="148"/>
      <c r="G729" s="143">
        <f>HLOOKUP("start",ESLData!H$1:H$9960,MATCH($A729,ESLData!$B$1:$B$9960,0))</f>
        <v>176.65</v>
      </c>
      <c r="H729" s="148"/>
      <c r="J729" s="156" t="s">
        <v>987</v>
      </c>
      <c r="K729" s="142" t="str">
        <f>IF(ISNA(HLOOKUP("start",ESLData!C$1:C$9960,MATCH($A729,ESLData!$B$1:$B$9960,0))),"",HLOOKUP("start",ESLData!C$1:C$9960,MATCH($A729,ESLData!$B$1:$B$9960,0)))</f>
        <v>Staff Training/Conferences Ict</v>
      </c>
    </row>
    <row r="730" spans="1:11" ht="14.25" customHeight="1" x14ac:dyDescent="0.2">
      <c r="A730" s="144">
        <v>35167</v>
      </c>
      <c r="C730" s="143">
        <f>HLOOKUP("start",ESLData!E$1:E$9960,MATCH($A730,ESLData!$B$1:$B$9960,0))</f>
        <v>152.16999999999999</v>
      </c>
      <c r="E730" s="143">
        <f>HLOOKUP("start",ESLData!F$1:F$9960,MATCH($A730,ESLData!$B$1:$B$9960,0))</f>
        <v>800</v>
      </c>
      <c r="G730" s="143">
        <f>HLOOKUP("start",ESLData!H$1:H$9960,MATCH($A730,ESLData!$B$1:$B$9960,0))</f>
        <v>0</v>
      </c>
      <c r="J730" s="156" t="s">
        <v>987</v>
      </c>
      <c r="K730" s="142" t="str">
        <f>IF(ISNA(HLOOKUP("start",ESLData!C$1:C$9960,MATCH($A730,ESLData!$B$1:$B$9960,0))),"",HLOOKUP("start",ESLData!C$1:C$9960,MATCH($A730,ESLData!$B$1:$B$9960,0)))</f>
        <v>Staff Training/Conferences</v>
      </c>
    </row>
    <row r="731" spans="1:11" ht="14.25" customHeight="1" x14ac:dyDescent="0.2">
      <c r="A731" s="144">
        <v>35187</v>
      </c>
      <c r="C731" s="143">
        <f>HLOOKUP("start",ESLData!E$1:E$9960,MATCH($A731,ESLData!$B$1:$B$9960,0))</f>
        <v>400</v>
      </c>
      <c r="E731" s="143">
        <f>HLOOKUP("start",ESLData!F$1:F$9960,MATCH($A731,ESLData!$B$1:$B$9960,0))</f>
        <v>1500</v>
      </c>
      <c r="G731" s="143">
        <f>HLOOKUP("start",ESLData!H$1:H$9960,MATCH($A731,ESLData!$B$1:$B$9960,0))</f>
        <v>0</v>
      </c>
      <c r="J731" s="156" t="s">
        <v>987</v>
      </c>
      <c r="K731" s="142" t="str">
        <f>IF(ISNA(HLOOKUP("start",ESLData!C$1:C$9960,MATCH($A731,ESLData!$B$1:$B$9960,0))),"",HLOOKUP("start",ESLData!C$1:C$9960,MATCH($A731,ESLData!$B$1:$B$9960,0)))</f>
        <v>Staff Training / Conferences</v>
      </c>
    </row>
    <row r="732" spans="1:11" ht="14.25" customHeight="1" x14ac:dyDescent="0.2">
      <c r="A732" s="144">
        <v>35196</v>
      </c>
      <c r="C732" s="143">
        <f>HLOOKUP("start",ESLData!E$1:E$9960,MATCH($A732,ESLData!$B$1:$B$9960,0))</f>
        <v>22468.6</v>
      </c>
      <c r="E732" s="143">
        <f>HLOOKUP("start",ESLData!F$1:F$9960,MATCH($A732,ESLData!$B$1:$B$9960,0))</f>
        <v>27500</v>
      </c>
      <c r="G732" s="143">
        <f>HLOOKUP("start",ESLData!H$1:H$9960,MATCH($A732,ESLData!$B$1:$B$9960,0))</f>
        <v>84486.14</v>
      </c>
      <c r="J732" s="156" t="s">
        <v>987</v>
      </c>
      <c r="K732" s="142" t="str">
        <f>IF(ISNA(HLOOKUP("start",ESLData!C$1:C$9960,MATCH($A732,ESLData!$B$1:$B$9960,0))),"",HLOOKUP("start",ESLData!C$1:C$9960,MATCH($A732,ESLData!$B$1:$B$9960,0)))</f>
        <v>Regional Funded Pd</v>
      </c>
    </row>
    <row r="733" spans="1:11" ht="14.25" customHeight="1" x14ac:dyDescent="0.2">
      <c r="A733" s="144">
        <v>35215</v>
      </c>
      <c r="C733" s="143">
        <f>HLOOKUP("start",ESLData!E$1:E$9960,MATCH($A733,ESLData!$B$1:$B$9960,0))</f>
        <v>154.25</v>
      </c>
      <c r="E733" s="143">
        <f>HLOOKUP("start",ESLData!F$1:F$9960,MATCH($A733,ESLData!$B$1:$B$9960,0))</f>
        <v>1500</v>
      </c>
      <c r="G733" s="143">
        <f>HLOOKUP("start",ESLData!H$1:H$9960,MATCH($A733,ESLData!$B$1:$B$9960,0))</f>
        <v>86.96</v>
      </c>
      <c r="J733" s="156" t="s">
        <v>987</v>
      </c>
      <c r="K733" s="142" t="str">
        <f>IF(ISNA(HLOOKUP("start",ESLData!C$1:C$9960,MATCH($A733,ESLData!$B$1:$B$9960,0))),"",HLOOKUP("start",ESLData!C$1:C$9960,MATCH($A733,ESLData!$B$1:$B$9960,0)))</f>
        <v>Staff Training /Conferences</v>
      </c>
    </row>
    <row r="734" spans="1:11" ht="14.25" customHeight="1" x14ac:dyDescent="0.2">
      <c r="A734" s="144">
        <v>35410</v>
      </c>
      <c r="C734" s="143">
        <f>HLOOKUP("start",ESLData!E$1:E$9960,MATCH($A734,ESLData!$B$1:$B$9960,0))</f>
        <v>368.69</v>
      </c>
      <c r="E734" s="143">
        <f>HLOOKUP("start",ESLData!F$1:F$9960,MATCH($A734,ESLData!$B$1:$B$9960,0))</f>
        <v>750</v>
      </c>
      <c r="G734" s="143">
        <f>HLOOKUP("start",ESLData!H$1:H$9960,MATCH($A734,ESLData!$B$1:$B$9960,0))</f>
        <v>206.96</v>
      </c>
      <c r="J734" s="156" t="s">
        <v>987</v>
      </c>
      <c r="K734" s="142" t="str">
        <f>IF(ISNA(HLOOKUP("start",ESLData!C$1:C$9960,MATCH($A734,ESLData!$B$1:$B$9960,0))),"",HLOOKUP("start",ESLData!C$1:C$9960,MATCH($A734,ESLData!$B$1:$B$9960,0)))</f>
        <v>Staff Training/ Conferences</v>
      </c>
    </row>
    <row r="735" spans="1:11" ht="14.25" customHeight="1" x14ac:dyDescent="0.2">
      <c r="A735" s="144">
        <v>35705</v>
      </c>
      <c r="C735" s="143">
        <f>HLOOKUP("start",ESLData!E$1:E$9960,MATCH($A735,ESLData!$B$1:$B$9960,0))</f>
        <v>1191.07</v>
      </c>
      <c r="E735" s="143">
        <f>HLOOKUP("start",ESLData!F$1:F$9960,MATCH($A735,ESLData!$B$1:$B$9960,0))</f>
        <v>750</v>
      </c>
      <c r="G735" s="143">
        <f>HLOOKUP("start",ESLData!H$1:H$9960,MATCH($A735,ESLData!$B$1:$B$9960,0))</f>
        <v>537.79</v>
      </c>
      <c r="H735" s="146"/>
      <c r="I735" s="146"/>
      <c r="J735" s="156" t="s">
        <v>987</v>
      </c>
      <c r="K735" s="142" t="str">
        <f>IF(ISNA(HLOOKUP("start",ESLData!C$1:C$9960,MATCH($A735,ESLData!$B$1:$B$9960,0))),"",HLOOKUP("start",ESLData!C$1:C$9960,MATCH($A735,ESLData!$B$1:$B$9960,0)))</f>
        <v>Staff Training/Conferences</v>
      </c>
    </row>
    <row r="736" spans="1:11" ht="14.25" customHeight="1" x14ac:dyDescent="0.2">
      <c r="A736" s="144">
        <v>35970</v>
      </c>
      <c r="C736" s="143">
        <f>HLOOKUP("start",ESLData!E$1:E$9960,MATCH($A736,ESLData!$B$1:$B$9960,0))</f>
        <v>0</v>
      </c>
      <c r="E736" s="143">
        <f>HLOOKUP("start",ESLData!F$1:F$9960,MATCH($A736,ESLData!$B$1:$B$9960,0))</f>
        <v>0</v>
      </c>
      <c r="G736" s="143">
        <f>HLOOKUP("start",ESLData!H$1:H$9960,MATCH($A736,ESLData!$B$1:$B$9960,0))</f>
        <v>0</v>
      </c>
      <c r="J736" s="156" t="s">
        <v>987</v>
      </c>
      <c r="K736" s="142" t="str">
        <f>IF(ISNA(HLOOKUP("start",ESLData!C$1:C$9960,MATCH($A736,ESLData!$B$1:$B$9960,0))),"",HLOOKUP("start",ESLData!C$1:C$9960,MATCH($A736,ESLData!$B$1:$B$9960,0)))</f>
        <v>Staff Training/Conferences Ec</v>
      </c>
    </row>
    <row r="737" spans="1:11" ht="14.25" customHeight="1" x14ac:dyDescent="0.2">
      <c r="A737" s="144">
        <v>36015</v>
      </c>
      <c r="C737" s="143">
        <f>HLOOKUP("start",ESLData!E$1:E$9960,MATCH($A737,ESLData!$B$1:$B$9960,0))</f>
        <v>5496.97</v>
      </c>
      <c r="E737" s="143">
        <f>HLOOKUP("start",ESLData!F$1:F$9960,MATCH($A737,ESLData!$B$1:$B$9960,0))</f>
        <v>7100</v>
      </c>
      <c r="G737" s="143">
        <f>HLOOKUP("start",ESLData!H$1:H$9960,MATCH($A737,ESLData!$B$1:$B$9960,0))</f>
        <v>2416.1</v>
      </c>
      <c r="J737" s="156" t="s">
        <v>987</v>
      </c>
      <c r="K737" s="142" t="str">
        <f>IF(ISNA(HLOOKUP("start",ESLData!C$1:C$9960,MATCH($A737,ESLData!$B$1:$B$9960,0))),"",HLOOKUP("start",ESLData!C$1:C$9960,MATCH($A737,ESLData!$B$1:$B$9960,0)))</f>
        <v>BELS - Staff Training</v>
      </c>
    </row>
    <row r="738" spans="1:11" ht="14.25" customHeight="1" x14ac:dyDescent="0.2">
      <c r="A738" s="144">
        <v>37320</v>
      </c>
      <c r="C738" s="143">
        <f>HLOOKUP("start",ESLData!E$1:E$9960,MATCH($A738,ESLData!$B$1:$B$9960,0))</f>
        <v>607.5</v>
      </c>
      <c r="E738" s="143">
        <f>HLOOKUP("start",ESLData!F$1:F$9960,MATCH($A738,ESLData!$B$1:$B$9960,0))</f>
        <v>2000</v>
      </c>
      <c r="G738" s="143">
        <f>HLOOKUP("start",ESLData!H$1:H$9960,MATCH($A738,ESLData!$B$1:$B$9960,0))</f>
        <v>979.13</v>
      </c>
      <c r="J738" s="156" t="s">
        <v>987</v>
      </c>
      <c r="K738" s="142" t="str">
        <f>IF(ISNA(HLOOKUP("start",ESLData!C$1:C$9960,MATCH($A738,ESLData!$B$1:$B$9960,0))),"",HLOOKUP("start",ESLData!C$1:C$9960,MATCH($A738,ESLData!$B$1:$B$9960,0)))</f>
        <v>Staff Training/Conferences</v>
      </c>
    </row>
    <row r="739" spans="1:11" ht="14.25" customHeight="1" x14ac:dyDescent="0.2">
      <c r="A739" s="144">
        <v>37740</v>
      </c>
      <c r="C739" s="143">
        <f>HLOOKUP("start",ESLData!E$1:E$9960,MATCH($A739,ESLData!$B$1:$B$9960,0))</f>
        <v>17000</v>
      </c>
      <c r="E739" s="143">
        <f>HLOOKUP("start",ESLData!F$1:F$9960,MATCH($A739,ESLData!$B$1:$B$9960,0))</f>
        <v>71043</v>
      </c>
      <c r="F739" s="148"/>
      <c r="G739" s="143">
        <f>HLOOKUP("start",ESLData!H$1:H$9960,MATCH($A739,ESLData!$B$1:$B$9960,0))</f>
        <v>0</v>
      </c>
      <c r="J739" s="156" t="s">
        <v>987</v>
      </c>
      <c r="K739" s="142" t="str">
        <f>IF(ISNA(HLOOKUP("start",ESLData!C$1:C$9960,MATCH($A739,ESLData!$B$1:$B$9960,0))),"",HLOOKUP("start",ESLData!C$1:C$9960,MATCH($A739,ESLData!$B$1:$B$9960,0)))</f>
        <v>PD Staffing</v>
      </c>
    </row>
    <row r="740" spans="1:11" ht="14.25" customHeight="1" x14ac:dyDescent="0.2">
      <c r="A740" s="144">
        <v>37745</v>
      </c>
      <c r="C740" s="143">
        <f>HLOOKUP("start",ESLData!E$1:E$9960,MATCH($A740,ESLData!$B$1:$B$9960,0))</f>
        <v>0</v>
      </c>
      <c r="E740" s="143">
        <f>HLOOKUP("start",ESLData!F$1:F$9960,MATCH($A740,ESLData!$B$1:$B$9960,0))</f>
        <v>0</v>
      </c>
      <c r="F740" s="148"/>
      <c r="G740" s="143">
        <f>HLOOKUP("start",ESLData!H$1:H$9960,MATCH($A740,ESLData!$B$1:$B$9960,0))</f>
        <v>155.43</v>
      </c>
      <c r="J740" s="156" t="s">
        <v>987</v>
      </c>
      <c r="K740" s="142" t="str">
        <f>IF(ISNA(HLOOKUP("start",ESLData!C$1:C$9960,MATCH($A740,ESLData!$B$1:$B$9960,0))),"",HLOOKUP("start",ESLData!C$1:C$9960,MATCH($A740,ESLData!$B$1:$B$9960,0)))</f>
        <v>PD Travel &amp; Accomodation</v>
      </c>
    </row>
    <row r="741" spans="1:11" ht="14.25" customHeight="1" x14ac:dyDescent="0.2">
      <c r="A741" s="144">
        <v>37750</v>
      </c>
      <c r="C741" s="143">
        <f>HLOOKUP("start",ESLData!E$1:E$9960,MATCH($A741,ESLData!$B$1:$B$9960,0))</f>
        <v>0</v>
      </c>
      <c r="E741" s="143">
        <f>HLOOKUP("start",ESLData!F$1:F$9960,MATCH($A741,ESLData!$B$1:$B$9960,0))</f>
        <v>0</v>
      </c>
      <c r="F741" s="148"/>
      <c r="G741" s="143">
        <f>HLOOKUP("start",ESLData!H$1:H$9960,MATCH($A741,ESLData!$B$1:$B$9960,0))</f>
        <v>0</v>
      </c>
      <c r="J741" s="156" t="s">
        <v>987</v>
      </c>
      <c r="K741" s="142" t="str">
        <f>IF(ISNA(HLOOKUP("start",ESLData!C$1:C$9960,MATCH($A741,ESLData!$B$1:$B$9960,0))),"",HLOOKUP("start",ESLData!C$1:C$9960,MATCH($A741,ESLData!$B$1:$B$9960,0)))</f>
        <v>PD Consumables</v>
      </c>
    </row>
    <row r="742" spans="1:11" ht="14.25" customHeight="1" x14ac:dyDescent="0.2">
      <c r="A742" s="144">
        <v>39031</v>
      </c>
      <c r="C742" s="143">
        <f>HLOOKUP("start",ESLData!E$1:E$9960,MATCH($A742,ESLData!$B$1:$B$9960,0))</f>
        <v>881.51</v>
      </c>
      <c r="E742" s="143">
        <f>HLOOKUP("start",ESLData!F$1:F$9960,MATCH($A742,ESLData!$B$1:$B$9960,0))</f>
        <v>2000</v>
      </c>
      <c r="F742" s="148"/>
      <c r="G742" s="143">
        <f>HLOOKUP("start",ESLData!H$1:H$9960,MATCH($A742,ESLData!$B$1:$B$9960,0))</f>
        <v>1181.96</v>
      </c>
      <c r="J742" s="156" t="s">
        <v>987</v>
      </c>
      <c r="K742" s="142" t="str">
        <f>IF(ISNA(HLOOKUP("start",ESLData!C$1:C$9960,MATCH($A742,ESLData!$B$1:$B$9960,0))),"",HLOOKUP("start",ESLData!C$1:C$9960,MATCH($A742,ESLData!$B$1:$B$9960,0)))</f>
        <v>Staff Training/Conferences</v>
      </c>
    </row>
    <row r="743" spans="1:11" ht="14.25" customHeight="1" x14ac:dyDescent="0.2">
      <c r="A743" s="144">
        <v>39081</v>
      </c>
      <c r="C743" s="143">
        <f>HLOOKUP("start",ESLData!E$1:E$9960,MATCH($A743,ESLData!$B$1:$B$9960,0))</f>
        <v>523.4</v>
      </c>
      <c r="E743" s="143">
        <f>HLOOKUP("start",ESLData!F$1:F$9960,MATCH($A743,ESLData!$B$1:$B$9960,0))</f>
        <v>2000</v>
      </c>
      <c r="G743" s="143">
        <f>HLOOKUP("start",ESLData!H$1:H$9960,MATCH($A743,ESLData!$B$1:$B$9960,0))</f>
        <v>34.200000000000003</v>
      </c>
      <c r="J743" s="156" t="s">
        <v>987</v>
      </c>
      <c r="K743" s="142" t="str">
        <f>IF(ISNA(HLOOKUP("start",ESLData!C$1:C$9960,MATCH($A743,ESLData!$B$1:$B$9960,0))),"",HLOOKUP("start",ESLData!C$1:C$9960,MATCH($A743,ESLData!$B$1:$B$9960,0)))</f>
        <v>Staff Training/Conferences</v>
      </c>
    </row>
    <row r="744" spans="1:11" ht="14.25" customHeight="1" x14ac:dyDescent="0.2">
      <c r="A744" s="144">
        <v>39131</v>
      </c>
      <c r="C744" s="143">
        <f>HLOOKUP("start",ESLData!E$1:E$9960,MATCH($A744,ESLData!$B$1:$B$9960,0))</f>
        <v>0</v>
      </c>
      <c r="E744" s="143">
        <f>HLOOKUP("start",ESLData!F$1:F$9960,MATCH($A744,ESLData!$B$1:$B$9960,0))</f>
        <v>750</v>
      </c>
      <c r="G744" s="143">
        <f>HLOOKUP("start",ESLData!H$1:H$9960,MATCH($A744,ESLData!$B$1:$B$9960,0))</f>
        <v>121.74</v>
      </c>
      <c r="J744" s="156" t="s">
        <v>987</v>
      </c>
      <c r="K744" s="142" t="str">
        <f>IF(ISNA(HLOOKUP("start",ESLData!C$1:C$9960,MATCH($A744,ESLData!$B$1:$B$9960,0))),"",HLOOKUP("start",ESLData!C$1:C$9960,MATCH($A744,ESLData!$B$1:$B$9960,0)))</f>
        <v>Staff Training/Conferences</v>
      </c>
    </row>
    <row r="745" spans="1:11" ht="14.25" customHeight="1" x14ac:dyDescent="0.2">
      <c r="A745" s="144">
        <v>39181</v>
      </c>
      <c r="C745" s="143">
        <f>HLOOKUP("start",ESLData!E$1:E$9960,MATCH($A745,ESLData!$B$1:$B$9960,0))</f>
        <v>1567.54</v>
      </c>
      <c r="D745" s="148"/>
      <c r="E745" s="143">
        <f>HLOOKUP("start",ESLData!F$1:F$9960,MATCH($A745,ESLData!$B$1:$B$9960,0))</f>
        <v>2000</v>
      </c>
      <c r="F745" s="148"/>
      <c r="G745" s="143">
        <f>HLOOKUP("start",ESLData!H$1:H$9960,MATCH($A745,ESLData!$B$1:$B$9960,0))</f>
        <v>1939.33</v>
      </c>
      <c r="H745" s="148"/>
      <c r="J745" s="156" t="s">
        <v>987</v>
      </c>
      <c r="K745" s="142" t="str">
        <f>IF(ISNA(HLOOKUP("start",ESLData!C$1:C$9960,MATCH($A745,ESLData!$B$1:$B$9960,0))),"",HLOOKUP("start",ESLData!C$1:C$9960,MATCH($A745,ESLData!$B$1:$B$9960,0)))</f>
        <v>Staff Training/Conferences</v>
      </c>
    </row>
    <row r="746" spans="1:11" ht="14.25" customHeight="1" x14ac:dyDescent="0.2">
      <c r="A746" s="144">
        <v>39231</v>
      </c>
      <c r="C746" s="143">
        <f>HLOOKUP("start",ESLData!E$1:E$9960,MATCH($A746,ESLData!$B$1:$B$9960,0))</f>
        <v>0</v>
      </c>
      <c r="E746" s="143">
        <f>HLOOKUP("start",ESLData!F$1:F$9960,MATCH($A746,ESLData!$B$1:$B$9960,0))</f>
        <v>750</v>
      </c>
      <c r="G746" s="143">
        <f>HLOOKUP("start",ESLData!H$1:H$9960,MATCH($A746,ESLData!$B$1:$B$9960,0))</f>
        <v>469.56</v>
      </c>
      <c r="J746" s="156" t="s">
        <v>987</v>
      </c>
      <c r="K746" s="142" t="str">
        <f>IF(ISNA(HLOOKUP("start",ESLData!C$1:C$9960,MATCH($A746,ESLData!$B$1:$B$9960,0))),"",HLOOKUP("start",ESLData!C$1:C$9960,MATCH($A746,ESLData!$B$1:$B$9960,0)))</f>
        <v>Staff Training/Conferences</v>
      </c>
    </row>
    <row r="747" spans="1:11" ht="14.25" customHeight="1" x14ac:dyDescent="0.2">
      <c r="A747" s="144">
        <v>39281</v>
      </c>
      <c r="C747" s="143">
        <f>HLOOKUP("start",ESLData!E$1:E$9960,MATCH($A747,ESLData!$B$1:$B$9960,0))</f>
        <v>121.74</v>
      </c>
      <c r="E747" s="143">
        <f>HLOOKUP("start",ESLData!F$1:F$9960,MATCH($A747,ESLData!$B$1:$B$9960,0))</f>
        <v>2000</v>
      </c>
      <c r="G747" s="143">
        <f>HLOOKUP("start",ESLData!H$1:H$9960,MATCH($A747,ESLData!$B$1:$B$9960,0))</f>
        <v>1477.63</v>
      </c>
      <c r="J747" s="156" t="s">
        <v>987</v>
      </c>
      <c r="K747" s="142" t="str">
        <f>IF(ISNA(HLOOKUP("start",ESLData!C$1:C$9960,MATCH($A747,ESLData!$B$1:$B$9960,0))),"",HLOOKUP("start",ESLData!C$1:C$9960,MATCH($A747,ESLData!$B$1:$B$9960,0)))</f>
        <v>Staff Training/Conferences</v>
      </c>
    </row>
    <row r="748" spans="1:11" ht="14.25" customHeight="1" x14ac:dyDescent="0.2">
      <c r="A748" s="144">
        <v>39331</v>
      </c>
      <c r="C748" s="143">
        <f>HLOOKUP("start",ESLData!E$1:E$9960,MATCH($A748,ESLData!$B$1:$B$9960,0))</f>
        <v>1552.22</v>
      </c>
      <c r="E748" s="143">
        <f>HLOOKUP("start",ESLData!F$1:F$9960,MATCH($A748,ESLData!$B$1:$B$9960,0))</f>
        <v>2000</v>
      </c>
      <c r="G748" s="143">
        <f>HLOOKUP("start",ESLData!H$1:H$9960,MATCH($A748,ESLData!$B$1:$B$9960,0))</f>
        <v>3882.13</v>
      </c>
      <c r="J748" s="156" t="s">
        <v>987</v>
      </c>
      <c r="K748" s="142" t="str">
        <f>IF(ISNA(HLOOKUP("start",ESLData!C$1:C$9960,MATCH($A748,ESLData!$B$1:$B$9960,0))),"",HLOOKUP("start",ESLData!C$1:C$9960,MATCH($A748,ESLData!$B$1:$B$9960,0)))</f>
        <v>Staff Training/Conferences</v>
      </c>
    </row>
    <row r="749" spans="1:11" ht="14.25" customHeight="1" x14ac:dyDescent="0.2">
      <c r="A749" s="144">
        <v>39381</v>
      </c>
      <c r="C749" s="143">
        <f>HLOOKUP("start",ESLData!E$1:E$9960,MATCH($A749,ESLData!$B$1:$B$9960,0))</f>
        <v>1769.41</v>
      </c>
      <c r="E749" s="143">
        <f>HLOOKUP("start",ESLData!F$1:F$9960,MATCH($A749,ESLData!$B$1:$B$9960,0))</f>
        <v>1500</v>
      </c>
      <c r="G749" s="143">
        <f>HLOOKUP("start",ESLData!H$1:H$9960,MATCH($A749,ESLData!$B$1:$B$9960,0))</f>
        <v>1782</v>
      </c>
      <c r="J749" s="156" t="s">
        <v>987</v>
      </c>
      <c r="K749" s="142" t="str">
        <f>IF(ISNA(HLOOKUP("start",ESLData!C$1:C$9960,MATCH($A749,ESLData!$B$1:$B$9960,0))),"",HLOOKUP("start",ESLData!C$1:C$9960,MATCH($A749,ESLData!$B$1:$B$9960,0)))</f>
        <v>Staff Training/Conferences</v>
      </c>
    </row>
    <row r="750" spans="1:11" ht="14.25" customHeight="1" x14ac:dyDescent="0.2">
      <c r="A750" s="144">
        <v>39505</v>
      </c>
      <c r="C750" s="143">
        <f>HLOOKUP("start",ESLData!E$1:E$9960,MATCH($A750,ESLData!$B$1:$B$9960,0))</f>
        <v>384.75</v>
      </c>
      <c r="E750" s="143">
        <f>HLOOKUP("start",ESLData!F$1:F$9960,MATCH($A750,ESLData!$B$1:$B$9960,0))</f>
        <v>700</v>
      </c>
      <c r="G750" s="143">
        <f>HLOOKUP("start",ESLData!H$1:H$9960,MATCH($A750,ESLData!$B$1:$B$9960,0))</f>
        <v>46.78</v>
      </c>
      <c r="J750" s="156" t="s">
        <v>987</v>
      </c>
      <c r="K750" s="142" t="str">
        <f>IF(ISNA(HLOOKUP("start",ESLData!C$1:C$9960,MATCH($A750,ESLData!$B$1:$B$9960,0))),"",HLOOKUP("start",ESLData!C$1:C$9960,MATCH($A750,ESLData!$B$1:$B$9960,0)))</f>
        <v>Staff Training/Conferences</v>
      </c>
    </row>
    <row r="751" spans="1:11" ht="14.25" customHeight="1" x14ac:dyDescent="0.2">
      <c r="A751" s="144">
        <v>40003</v>
      </c>
      <c r="C751" s="143">
        <f>HLOOKUP("start",ESLData!E$1:E$9960,MATCH($A751,ESLData!$B$1:$B$9960,0))</f>
        <v>0</v>
      </c>
      <c r="E751" s="143">
        <f>HLOOKUP("start",ESLData!F$1:F$9960,MATCH($A751,ESLData!$B$1:$B$9960,0))</f>
        <v>1500</v>
      </c>
      <c r="G751" s="143">
        <f>HLOOKUP("start",ESLData!H$1:H$9960,MATCH($A751,ESLData!$B$1:$B$9960,0))</f>
        <v>0</v>
      </c>
      <c r="J751" s="156"/>
      <c r="K751" s="142" t="str">
        <f>IF(ISNA(HLOOKUP("start",ESLData!C$1:C$9960,MATCH($A751,ESLData!$B$1:$B$9960,0))),"",HLOOKUP("start",ESLData!C$1:C$9960,MATCH($A751,ESLData!$B$1:$B$9960,0)))</f>
        <v>Professional Development</v>
      </c>
    </row>
    <row r="752" spans="1:11" ht="14.25" customHeight="1" x14ac:dyDescent="0.2">
      <c r="A752" s="144">
        <v>41003</v>
      </c>
      <c r="C752" s="143">
        <f>HLOOKUP("start",ESLData!E$1:E$9960,MATCH($A752,ESLData!$B$1:$B$9960,0))</f>
        <v>163.81</v>
      </c>
      <c r="E752" s="143">
        <f>HLOOKUP("start",ESLData!F$1:F$9960,MATCH($A752,ESLData!$B$1:$B$9960,0))</f>
        <v>4500</v>
      </c>
      <c r="G752" s="143">
        <f>HLOOKUP("start",ESLData!H$1:H$9960,MATCH($A752,ESLData!$B$1:$B$9960,0))</f>
        <v>0</v>
      </c>
      <c r="J752" s="156"/>
      <c r="K752" s="142" t="str">
        <f>IF(ISNA(HLOOKUP("start",ESLData!C$1:C$9960,MATCH($A752,ESLData!$B$1:$B$9960,0))),"",HLOOKUP("start",ESLData!C$1:C$9960,MATCH($A752,ESLData!$B$1:$B$9960,0)))</f>
        <v>Professional Development</v>
      </c>
    </row>
    <row r="753" spans="1:11" ht="14.25" customHeight="1" x14ac:dyDescent="0.2">
      <c r="A753" s="144">
        <v>46675</v>
      </c>
      <c r="C753" s="143">
        <f>HLOOKUP("start",ESLData!E$1:E$9960,MATCH($A753,ESLData!$B$1:$B$9960,0))</f>
        <v>20590.259999999998</v>
      </c>
      <c r="E753" s="143">
        <f>HLOOKUP("start",ESLData!F$1:F$9960,MATCH($A753,ESLData!$B$1:$B$9960,0))</f>
        <v>15000</v>
      </c>
      <c r="G753" s="143">
        <f>HLOOKUP("start",ESLData!H$1:H$9960,MATCH($A753,ESLData!$B$1:$B$9960,0))</f>
        <v>0</v>
      </c>
      <c r="J753" s="156" t="s">
        <v>987</v>
      </c>
      <c r="K753" s="142" t="str">
        <f>IF(ISNA(HLOOKUP("start",ESLData!C$1:C$9960,MATCH($A753,ESLData!$B$1:$B$9960,0))),"",HLOOKUP("start",ESLData!C$1:C$9960,MATCH($A753,ESLData!$B$1:$B$9960,0)))</f>
        <v>International Conferences</v>
      </c>
    </row>
    <row r="754" spans="1:11" ht="14.25" customHeight="1" x14ac:dyDescent="0.2">
      <c r="A754" s="144">
        <v>46880</v>
      </c>
      <c r="C754" s="143">
        <f>HLOOKUP("start",ESLData!E$1:E$9960,MATCH($A754,ESLData!$B$1:$B$9960,0))</f>
        <v>449</v>
      </c>
      <c r="E754" s="143">
        <f>HLOOKUP("start",ESLData!F$1:F$9960,MATCH($A754,ESLData!$B$1:$B$9960,0))</f>
        <v>2500</v>
      </c>
      <c r="G754" s="143">
        <f>HLOOKUP("start",ESLData!H$1:H$9960,MATCH($A754,ESLData!$B$1:$B$9960,0))</f>
        <v>660</v>
      </c>
      <c r="J754" s="156" t="s">
        <v>987</v>
      </c>
      <c r="K754" s="142" t="str">
        <f>IF(ISNA(HLOOKUP("start",ESLData!C$1:C$9960,MATCH($A754,ESLData!$B$1:$B$9960,0))),"",HLOOKUP("start",ESLData!C$1:C$9960,MATCH($A754,ESLData!$B$1:$B$9960,0)))</f>
        <v>Training Costs - Admin Staff</v>
      </c>
    </row>
    <row r="755" spans="1:11" ht="14.25" customHeight="1" x14ac:dyDescent="0.2">
      <c r="A755" s="144">
        <v>46885</v>
      </c>
      <c r="C755" s="143">
        <f>HLOOKUP("start",ESLData!E$1:E$9960,MATCH($A755,ESLData!$B$1:$B$9960,0))</f>
        <v>1214.46</v>
      </c>
      <c r="E755" s="143">
        <f>HLOOKUP("start",ESLData!F$1:F$9960,MATCH($A755,ESLData!$B$1:$B$9960,0))</f>
        <v>0</v>
      </c>
      <c r="G755" s="143">
        <f>HLOOKUP("start",ESLData!H$1:H$9960,MATCH($A755,ESLData!$B$1:$B$9960,0))</f>
        <v>10618.03</v>
      </c>
      <c r="J755" s="156" t="s">
        <v>987</v>
      </c>
      <c r="K755" s="142" t="str">
        <f>IF(ISNA(HLOOKUP("start",ESLData!C$1:C$9960,MATCH($A755,ESLData!$B$1:$B$9960,0))),"",HLOOKUP("start",ESLData!C$1:C$9960,MATCH($A755,ESLData!$B$1:$B$9960,0)))</f>
        <v>Blennz Wide Staff Training</v>
      </c>
    </row>
    <row r="756" spans="1:11" ht="14.25" customHeight="1" x14ac:dyDescent="0.2">
      <c r="A756" s="144">
        <v>60210</v>
      </c>
      <c r="C756" s="143">
        <f>HLOOKUP("start",ESLData!E$1:E$9960,MATCH($A756,ESLData!$B$1:$B$9960,0))</f>
        <v>0</v>
      </c>
      <c r="E756" s="143">
        <f>HLOOKUP("start",ESLData!F$1:F$9960,MATCH($A756,ESLData!$B$1:$B$9960,0))</f>
        <v>0</v>
      </c>
      <c r="G756" s="143">
        <f>HLOOKUP("start",ESLData!H$1:H$9960,MATCH($A756,ESLData!$B$1:$B$9960,0))</f>
        <v>0</v>
      </c>
      <c r="J756" s="156" t="s">
        <v>987</v>
      </c>
      <c r="K756" s="142" t="str">
        <f>IF(ISNA(HLOOKUP("start",ESLData!C$1:C$9960,MATCH($A756,ESLData!$B$1:$B$9960,0))),"",HLOOKUP("start",ESLData!C$1:C$9960,MATCH($A756,ESLData!$B$1:$B$9960,0)))</f>
        <v>ADL Professional Development</v>
      </c>
    </row>
    <row r="757" spans="1:11" ht="14.25" customHeight="1" x14ac:dyDescent="0.2">
      <c r="A757" s="144">
        <v>60700</v>
      </c>
      <c r="C757" s="143">
        <f>HLOOKUP("start",ESLData!E$1:E$9960,MATCH($A757,ESLData!$B$1:$B$9960,0))</f>
        <v>7512.1</v>
      </c>
      <c r="E757" s="143">
        <f>HLOOKUP("start",ESLData!F$1:F$9960,MATCH($A757,ESLData!$B$1:$B$9960,0))</f>
        <v>10200</v>
      </c>
      <c r="G757" s="143">
        <f>HLOOKUP("start",ESLData!H$1:H$9960,MATCH($A757,ESLData!$B$1:$B$9960,0))</f>
        <v>4382.47</v>
      </c>
      <c r="J757" s="156" t="s">
        <v>987</v>
      </c>
      <c r="K757" s="142" t="str">
        <f>IF(ISNA(HLOOKUP("start",ESLData!C$1:C$9960,MATCH($A757,ESLData!$B$1:$B$9960,0))),"",HLOOKUP("start",ESLData!C$1:C$9960,MATCH($A757,ESLData!$B$1:$B$9960,0)))</f>
        <v>Staff Training/Conferences</v>
      </c>
    </row>
    <row r="758" spans="1:11" ht="14.25" customHeight="1" x14ac:dyDescent="0.2">
      <c r="A758" s="144">
        <v>61100</v>
      </c>
      <c r="C758" s="143">
        <f>HLOOKUP("start",ESLData!E$1:E$9960,MATCH($A758,ESLData!$B$1:$B$9960,0))</f>
        <v>3369.36</v>
      </c>
      <c r="E758" s="143">
        <f>HLOOKUP("start",ESLData!F$1:F$9960,MATCH($A758,ESLData!$B$1:$B$9960,0))</f>
        <v>9200</v>
      </c>
      <c r="G758" s="143">
        <f>HLOOKUP("start",ESLData!H$1:H$9960,MATCH($A758,ESLData!$B$1:$B$9960,0))</f>
        <v>0</v>
      </c>
      <c r="J758" s="156" t="s">
        <v>987</v>
      </c>
      <c r="K758" s="142" t="str">
        <f>IF(ISNA(HLOOKUP("start",ESLData!C$1:C$9960,MATCH($A758,ESLData!$B$1:$B$9960,0))),"",HLOOKUP("start",ESLData!C$1:C$9960,MATCH($A758,ESLData!$B$1:$B$9960,0)))</f>
        <v>Course Fees</v>
      </c>
    </row>
    <row r="759" spans="1:11" ht="14.25" customHeight="1" x14ac:dyDescent="0.2">
      <c r="A759" s="144">
        <v>61150</v>
      </c>
      <c r="C759" s="143">
        <f>HLOOKUP("start",ESLData!E$1:E$9960,MATCH($A759,ESLData!$B$1:$B$9960,0))</f>
        <v>0</v>
      </c>
      <c r="E759" s="143">
        <f>HLOOKUP("start",ESLData!F$1:F$9960,MATCH($A759,ESLData!$B$1:$B$9960,0))</f>
        <v>0</v>
      </c>
      <c r="G759" s="143">
        <f>HLOOKUP("start",ESLData!H$1:H$9960,MATCH($A759,ESLData!$B$1:$B$9960,0))</f>
        <v>0</v>
      </c>
      <c r="J759" s="156" t="s">
        <v>987</v>
      </c>
      <c r="K759" s="142" t="str">
        <f>IF(ISNA(HLOOKUP("start",ESLData!C$1:C$9960,MATCH($A759,ESLData!$B$1:$B$9960,0))),"",HLOOKUP("start",ESLData!C$1:C$9960,MATCH($A759,ESLData!$B$1:$B$9960,0)))</f>
        <v>Course Fees Year 2</v>
      </c>
    </row>
    <row r="760" spans="1:11" ht="14.25" customHeight="1" x14ac:dyDescent="0.2">
      <c r="A760" s="144">
        <v>61160</v>
      </c>
      <c r="C760" s="143">
        <f>HLOOKUP("start",ESLData!E$1:E$9960,MATCH($A760,ESLData!$B$1:$B$9960,0))</f>
        <v>0</v>
      </c>
      <c r="E760" s="143">
        <f>HLOOKUP("start",ESLData!F$1:F$9960,MATCH($A760,ESLData!$B$1:$B$9960,0))</f>
        <v>0</v>
      </c>
      <c r="G760" s="143">
        <f>HLOOKUP("start",ESLData!H$1:H$9960,MATCH($A760,ESLData!$B$1:$B$9960,0))</f>
        <v>0</v>
      </c>
      <c r="J760" s="156" t="s">
        <v>987</v>
      </c>
      <c r="K760" s="142" t="str">
        <f>IF(ISNA(HLOOKUP("start",ESLData!C$1:C$9960,MATCH($A760,ESLData!$B$1:$B$9960,0))),"",HLOOKUP("start",ESLData!C$1:C$9960,MATCH($A760,ESLData!$B$1:$B$9960,0)))</f>
        <v>Course Fees - Year 3</v>
      </c>
    </row>
    <row r="761" spans="1:11" ht="14.25" customHeight="1" x14ac:dyDescent="0.2">
      <c r="A761" s="144">
        <v>61170</v>
      </c>
      <c r="C761" s="143">
        <f>HLOOKUP("start",ESLData!E$1:E$9960,MATCH($A761,ESLData!$B$1:$B$9960,0))</f>
        <v>0</v>
      </c>
      <c r="E761" s="143">
        <f>HLOOKUP("start",ESLData!F$1:F$9960,MATCH($A761,ESLData!$B$1:$B$9960,0))</f>
        <v>0</v>
      </c>
      <c r="G761" s="143">
        <f>HLOOKUP("start",ESLData!H$1:H$9960,MATCH($A761,ESLData!$B$1:$B$9960,0))</f>
        <v>0</v>
      </c>
      <c r="J761" s="156" t="s">
        <v>987</v>
      </c>
      <c r="K761" s="142" t="str">
        <f>IF(ISNA(HLOOKUP("start",ESLData!C$1:C$9960,MATCH($A761,ESLData!$B$1:$B$9960,0))),"",HLOOKUP("start",ESLData!C$1:C$9960,MATCH($A761,ESLData!$B$1:$B$9960,0)))</f>
        <v>Course Fees Blindfold</v>
      </c>
    </row>
    <row r="762" spans="1:11" ht="14.25" customHeight="1" x14ac:dyDescent="0.2">
      <c r="A762" s="144">
        <v>61175</v>
      </c>
      <c r="C762" s="143">
        <f>HLOOKUP("start",ESLData!E$1:E$9960,MATCH($A762,ESLData!$B$1:$B$9960,0))</f>
        <v>0</v>
      </c>
      <c r="E762" s="143">
        <f>HLOOKUP("start",ESLData!F$1:F$9960,MATCH($A762,ESLData!$B$1:$B$9960,0))</f>
        <v>0</v>
      </c>
      <c r="G762" s="143">
        <f>HLOOKUP("start",ESLData!H$1:H$9960,MATCH($A762,ESLData!$B$1:$B$9960,0))</f>
        <v>0</v>
      </c>
      <c r="J762" s="156" t="s">
        <v>987</v>
      </c>
      <c r="K762" s="142" t="str">
        <f>IF(ISNA(HLOOKUP("start",ESLData!C$1:C$9960,MATCH($A762,ESLData!$B$1:$B$9960,0))),"",HLOOKUP("start",ESLData!C$1:C$9960,MATCH($A762,ESLData!$B$1:$B$9960,0)))</f>
        <v>Course Fees - ADL</v>
      </c>
    </row>
    <row r="763" spans="1:11" ht="14.25" customHeight="1" x14ac:dyDescent="0.2">
      <c r="A763" s="144">
        <v>61500</v>
      </c>
      <c r="C763" s="143">
        <f>HLOOKUP("start",ESLData!E$1:E$9960,MATCH($A763,ESLData!$B$1:$B$9960,0))</f>
        <v>39916.519999999997</v>
      </c>
      <c r="E763" s="143">
        <f>HLOOKUP("start",ESLData!F$1:F$9960,MATCH($A763,ESLData!$B$1:$B$9960,0))</f>
        <v>36000</v>
      </c>
      <c r="G763" s="143">
        <f>HLOOKUP("start",ESLData!H$1:H$9960,MATCH($A763,ESLData!$B$1:$B$9960,0))</f>
        <v>11817.39</v>
      </c>
      <c r="J763" s="156" t="s">
        <v>987</v>
      </c>
      <c r="K763" s="142" t="str">
        <f>IF(ISNA(HLOOKUP("start",ESLData!C$1:C$9960,MATCH($A763,ESLData!$B$1:$B$9960,0))),"",HLOOKUP("start",ESLData!C$1:C$9960,MATCH($A763,ESLData!$B$1:$B$9960,0)))</f>
        <v>Massey Costs</v>
      </c>
    </row>
    <row r="764" spans="1:11" ht="14.25" customHeight="1" x14ac:dyDescent="0.2">
      <c r="A764" s="144">
        <v>62560</v>
      </c>
      <c r="C764" s="143">
        <f>HLOOKUP("start",ESLData!E$1:E$9960,MATCH($A764,ESLData!$B$1:$B$9960,0))</f>
        <v>2635.4</v>
      </c>
      <c r="E764" s="143">
        <f>HLOOKUP("start",ESLData!F$1:F$9960,MATCH($A764,ESLData!$B$1:$B$9960,0))</f>
        <v>4000</v>
      </c>
      <c r="G764" s="143">
        <f>HLOOKUP("start",ESLData!H$1:H$9960,MATCH($A764,ESLData!$B$1:$B$9960,0))</f>
        <v>744.8</v>
      </c>
      <c r="J764" s="156"/>
      <c r="K764" s="142" t="str">
        <f>IF(ISNA(HLOOKUP("start",ESLData!C$1:C$9960,MATCH($A764,ESLData!$B$1:$B$9960,0))),"",HLOOKUP("start",ESLData!C$1:C$9960,MATCH($A764,ESLData!$B$1:$B$9960,0)))</f>
        <v>Staff Training/Conference</v>
      </c>
    </row>
    <row r="765" spans="1:11" ht="14.25" customHeight="1" x14ac:dyDescent="0.2">
      <c r="A765" s="144">
        <v>63560</v>
      </c>
      <c r="C765" s="143">
        <f>HLOOKUP("start",ESLData!E$1:E$9960,MATCH($A765,ESLData!$B$1:$B$9960,0))</f>
        <v>0</v>
      </c>
      <c r="E765" s="143">
        <f>HLOOKUP("start",ESLData!F$1:F$9960,MATCH($A765,ESLData!$B$1:$B$9960,0))</f>
        <v>750</v>
      </c>
      <c r="G765" s="143">
        <f>HLOOKUP("start",ESLData!H$1:H$9960,MATCH($A765,ESLData!$B$1:$B$9960,0))</f>
        <v>46.52</v>
      </c>
      <c r="J765" s="156"/>
      <c r="K765" s="142" t="str">
        <f>IF(ISNA(HLOOKUP("start",ESLData!C$1:C$9960,MATCH($A765,ESLData!$B$1:$B$9960,0))),"",HLOOKUP("start",ESLData!C$1:C$9960,MATCH($A765,ESLData!$B$1:$B$9960,0)))</f>
        <v>Northland Staff Training/Conf</v>
      </c>
    </row>
    <row r="766" spans="1:11" ht="14.25" customHeight="1" x14ac:dyDescent="0.2">
      <c r="A766" s="144">
        <v>64550</v>
      </c>
      <c r="C766" s="143">
        <f>HLOOKUP("start",ESLData!E$1:E$9960,MATCH($A766,ESLData!$B$1:$B$9960,0))</f>
        <v>0</v>
      </c>
      <c r="E766" s="143">
        <f>HLOOKUP("start",ESLData!F$1:F$9960,MATCH($A766,ESLData!$B$1:$B$9960,0))</f>
        <v>0</v>
      </c>
      <c r="G766" s="143">
        <f>HLOOKUP("start",ESLData!H$1:H$9960,MATCH($A766,ESLData!$B$1:$B$9960,0))</f>
        <v>0</v>
      </c>
      <c r="J766" s="156"/>
      <c r="K766" s="142" t="str">
        <f>IF(ISNA(HLOOKUP("start",ESLData!C$1:C$9960,MATCH($A766,ESLData!$B$1:$B$9960,0))),"",HLOOKUP("start",ESLData!C$1:C$9960,MATCH($A766,ESLData!$B$1:$B$9960,0)))</f>
        <v>Recruitment</v>
      </c>
    </row>
    <row r="767" spans="1:11" ht="14.25" customHeight="1" x14ac:dyDescent="0.2">
      <c r="A767" s="144">
        <v>64560</v>
      </c>
      <c r="C767" s="143">
        <f>HLOOKUP("start",ESLData!E$1:E$9960,MATCH($A767,ESLData!$B$1:$B$9960,0))</f>
        <v>736.36</v>
      </c>
      <c r="E767" s="143">
        <f>HLOOKUP("start",ESLData!F$1:F$9960,MATCH($A767,ESLData!$B$1:$B$9960,0))</f>
        <v>2000</v>
      </c>
      <c r="G767" s="143">
        <f>HLOOKUP("start",ESLData!H$1:H$9960,MATCH($A767,ESLData!$B$1:$B$9960,0))</f>
        <v>1454.9</v>
      </c>
      <c r="J767" s="156"/>
      <c r="K767" s="142" t="str">
        <f>IF(ISNA(HLOOKUP("start",ESLData!C$1:C$9960,MATCH($A767,ESLData!$B$1:$B$9960,0))),"",HLOOKUP("start",ESLData!C$1:C$9960,MATCH($A767,ESLData!$B$1:$B$9960,0)))</f>
        <v>Staff Training/Conferences</v>
      </c>
    </row>
    <row r="768" spans="1:11" ht="14.25" customHeight="1" x14ac:dyDescent="0.2">
      <c r="A768" s="144">
        <v>64570</v>
      </c>
      <c r="C768" s="143">
        <f>HLOOKUP("start",ESLData!E$1:E$9960,MATCH($A768,ESLData!$B$1:$B$9960,0))</f>
        <v>5492.29</v>
      </c>
      <c r="E768" s="143">
        <f>HLOOKUP("start",ESLData!F$1:F$9960,MATCH($A768,ESLData!$B$1:$B$9960,0))</f>
        <v>4000</v>
      </c>
      <c r="G768" s="143">
        <f>HLOOKUP("start",ESLData!H$1:H$9960,MATCH($A768,ESLData!$B$1:$B$9960,0))</f>
        <v>7527.15</v>
      </c>
      <c r="J768" s="156" t="s">
        <v>987</v>
      </c>
      <c r="K768" s="142" t="str">
        <f>IF(ISNA(HLOOKUP("start",ESLData!C$1:C$9960,MATCH($A768,ESLData!$B$1:$B$9960,0))),"",HLOOKUP("start",ESLData!C$1:C$9960,MATCH($A768,ESLData!$B$1:$B$9960,0)))</f>
        <v>Staff Travel/Accommodation</v>
      </c>
    </row>
    <row r="769" spans="1:11" ht="14.25" customHeight="1" x14ac:dyDescent="0.2">
      <c r="A769" s="144">
        <v>64580</v>
      </c>
      <c r="C769" s="143">
        <f>HLOOKUP("start",ESLData!E$1:E$9960,MATCH($A769,ESLData!$B$1:$B$9960,0))</f>
        <v>3149.33</v>
      </c>
      <c r="D769" s="162">
        <f>ROUND(SUM(C726:C769),0)</f>
        <v>528716</v>
      </c>
      <c r="E769" s="143">
        <f>HLOOKUP("start",ESLData!F$1:F$9960,MATCH($A769,ESLData!$B$1:$B$9960,0))</f>
        <v>4000</v>
      </c>
      <c r="F769" s="155">
        <f>ROUND(SUM(E726:E769),0)</f>
        <v>519393</v>
      </c>
      <c r="G769" s="143">
        <f>HLOOKUP("start",ESLData!H$1:H$9960,MATCH($A769,ESLData!$B$1:$B$9960,0))</f>
        <v>3220.65</v>
      </c>
      <c r="H769" s="162">
        <f>ROUND(SUM(G726:G769),0)</f>
        <v>442013</v>
      </c>
      <c r="J769" s="156" t="s">
        <v>987</v>
      </c>
      <c r="K769" s="142" t="str">
        <f>IF(ISNA(HLOOKUP("start",ESLData!C$1:C$9960,MATCH($A769,ESLData!$B$1:$B$9960,0))),"",HLOOKUP("start",ESLData!C$1:C$9960,MATCH($A769,ESLData!$B$1:$B$9960,0)))</f>
        <v>Petrol</v>
      </c>
    </row>
    <row r="770" spans="1:11" ht="14.25" customHeight="1" x14ac:dyDescent="0.2">
      <c r="C770" s="143"/>
      <c r="D770" s="155"/>
      <c r="E770" s="143"/>
      <c r="F770" s="155"/>
      <c r="G770" s="143"/>
      <c r="H770" s="155"/>
      <c r="J770" s="146"/>
    </row>
    <row r="771" spans="1:11" ht="14.25" customHeight="1" x14ac:dyDescent="0.2">
      <c r="C771" s="143"/>
      <c r="D771" s="155"/>
      <c r="E771" s="143"/>
      <c r="F771" s="155"/>
      <c r="G771" s="143"/>
      <c r="H771" s="155"/>
      <c r="J771" s="146"/>
    </row>
    <row r="772" spans="1:11" s="154" customFormat="1" ht="14.25" customHeight="1" x14ac:dyDescent="0.2">
      <c r="A772" s="151" t="s">
        <v>426</v>
      </c>
      <c r="B772" s="142"/>
      <c r="C772" s="143"/>
      <c r="D772" s="142"/>
      <c r="E772" s="143"/>
      <c r="F772" s="142"/>
      <c r="G772" s="143"/>
      <c r="H772" s="142"/>
      <c r="K772" s="142" t="str">
        <f>IF(ISNA(HLOOKUP("start",ESLData!C$1:C$9960,MATCH($A772,ESLData!$B$1:$B$9960,0))),"",HLOOKUP("start",ESLData!C$1:C$9960,MATCH($A772,ESLData!$B$1:$B$9960,0)))</f>
        <v/>
      </c>
    </row>
    <row r="773" spans="1:11" ht="14.25" customHeight="1" x14ac:dyDescent="0.2">
      <c r="A773" s="147" t="s">
        <v>617</v>
      </c>
      <c r="C773" s="143"/>
      <c r="E773" s="143"/>
      <c r="G773" s="143"/>
      <c r="J773" s="156" t="s">
        <v>987</v>
      </c>
      <c r="K773" s="142" t="str">
        <f>IF(ISNA(HLOOKUP("start",ESLData!C$1:C$9960,MATCH($A773,ESLData!$B$1:$B$9960,0))),"",HLOOKUP("start",ESLData!C$1:C$9960,MATCH($A773,ESLData!$B$1:$B$9960,0)))</f>
        <v/>
      </c>
    </row>
    <row r="774" spans="1:11" ht="14.25" customHeight="1" x14ac:dyDescent="0.2">
      <c r="A774" s="144">
        <v>35115</v>
      </c>
      <c r="C774" s="143">
        <f>HLOOKUP("start",ESLData!E$1:E$9960,MATCH($A774,ESLData!$B$1:$B$9960,0))</f>
        <v>0</v>
      </c>
      <c r="E774" s="143">
        <f>HLOOKUP("start",ESLData!F$1:F$9960,MATCH($A774,ESLData!$B$1:$B$9960,0))</f>
        <v>0</v>
      </c>
      <c r="G774" s="143">
        <f>HLOOKUP("start",ESLData!H$1:H$9960,MATCH($A774,ESLData!$B$1:$B$9960,0))</f>
        <v>0</v>
      </c>
      <c r="J774" s="156" t="s">
        <v>987</v>
      </c>
      <c r="K774" s="142" t="str">
        <f>IF(ISNA(HLOOKUP("start",ESLData!C$1:C$9960,MATCH($A774,ESLData!$B$1:$B$9960,0))),"",HLOOKUP("start",ESLData!C$1:C$9960,MATCH($A774,ESLData!$B$1:$B$9960,0)))</f>
        <v>Auckland North - Vehicle Insurance</v>
      </c>
    </row>
    <row r="775" spans="1:11" s="150" customFormat="1" ht="14.25" customHeight="1" x14ac:dyDescent="0.2">
      <c r="A775" s="144">
        <v>38980</v>
      </c>
      <c r="B775" s="142"/>
      <c r="C775" s="143">
        <f>HLOOKUP("start",ESLData!E$1:E$9960,MATCH($A775,ESLData!$B$1:$B$9960,0))</f>
        <v>0</v>
      </c>
      <c r="D775" s="142"/>
      <c r="E775" s="143">
        <f>HLOOKUP("start",ESLData!F$1:F$9960,MATCH($A775,ESLData!$B$1:$B$9960,0))</f>
        <v>0</v>
      </c>
      <c r="F775" s="142"/>
      <c r="G775" s="143">
        <f>HLOOKUP("start",ESLData!H$1:H$9960,MATCH($A775,ESLData!$B$1:$B$9960,0))</f>
        <v>0</v>
      </c>
      <c r="H775" s="142"/>
      <c r="K775" s="142" t="str">
        <f>IF(ISNA(HLOOKUP("start",ESLData!C$1:C$9960,MATCH($A775,ESLData!$B$1:$B$9960,0))),"",HLOOKUP("start",ESLData!C$1:C$9960,MATCH($A775,ESLData!$B$1:$B$9960,0)))</f>
        <v>Parent Courses</v>
      </c>
    </row>
    <row r="776" spans="1:11" s="150" customFormat="1" ht="14.25" customHeight="1" x14ac:dyDescent="0.2">
      <c r="A776" s="144">
        <v>38969</v>
      </c>
      <c r="B776" s="142"/>
      <c r="C776" s="143">
        <f>HLOOKUP("start",ESLData!E$1:E$9960,MATCH($A776,ESLData!$B$1:$B$9960,0))</f>
        <v>62.61</v>
      </c>
      <c r="D776" s="142"/>
      <c r="E776" s="143">
        <f>HLOOKUP("start",ESLData!F$1:F$9960,MATCH($A776,ESLData!$B$1:$B$9960,0))</f>
        <v>0</v>
      </c>
      <c r="F776" s="142"/>
      <c r="G776" s="143">
        <f>HLOOKUP("start",ESLData!H$1:H$9960,MATCH($A776,ESLData!$B$1:$B$9960,0))</f>
        <v>0</v>
      </c>
      <c r="H776" s="142"/>
      <c r="K776" s="142" t="str">
        <f>IF(ISNA(HLOOKUP("start",ESLData!C$1:C$9960,MATCH($A776,ESLData!$B$1:$B$9960,0))),"",HLOOKUP("start",ESLData!C$1:C$9960,MATCH($A776,ESLData!$B$1:$B$9960,0)))</f>
        <v>Technology L/Vision Napier</v>
      </c>
    </row>
    <row r="777" spans="1:11" ht="14.25" customHeight="1" x14ac:dyDescent="0.2">
      <c r="A777" s="144">
        <v>35120</v>
      </c>
      <c r="C777" s="143">
        <f>HLOOKUP("start",ESLData!E$1:E$9960,MATCH($A777,ESLData!$B$1:$B$9960,0))</f>
        <v>0</v>
      </c>
      <c r="E777" s="143">
        <f>HLOOKUP("start",ESLData!F$1:F$9960,MATCH($A777,ESLData!$B$1:$B$9960,0))</f>
        <v>0</v>
      </c>
      <c r="G777" s="143">
        <f>HLOOKUP("start",ESLData!H$1:H$9960,MATCH($A777,ESLData!$B$1:$B$9960,0))</f>
        <v>0</v>
      </c>
      <c r="J777" s="156" t="s">
        <v>987</v>
      </c>
      <c r="K777" s="142" t="str">
        <f>IF(ISNA(HLOOKUP("start",ESLData!C$1:C$9960,MATCH($A777,ESLData!$B$1:$B$9960,0))),"",HLOOKUP("start",ESLData!C$1:C$9960,MATCH($A777,ESLData!$B$1:$B$9960,0)))</f>
        <v>Vehicle Maintenance</v>
      </c>
    </row>
    <row r="778" spans="1:11" ht="14.25" customHeight="1" x14ac:dyDescent="0.2">
      <c r="A778" s="145" t="s">
        <v>1455</v>
      </c>
      <c r="C778" s="143">
        <f>HLOOKUP("start",ESLData!E$1:E$9960,MATCH($A778,ESLData!$B$1:$B$9960,0))</f>
        <v>0</v>
      </c>
      <c r="E778" s="143">
        <f>HLOOKUP("start",ESLData!F$1:F$9960,MATCH($A778,ESLData!$B$1:$B$9960,0))</f>
        <v>0</v>
      </c>
      <c r="G778" s="143">
        <f>HLOOKUP("start",ESLData!H$1:H$9960,MATCH($A778,ESLData!$B$1:$B$9960,0))</f>
        <v>0</v>
      </c>
      <c r="J778" s="156" t="s">
        <v>987</v>
      </c>
      <c r="K778" s="142" t="str">
        <f>IF(ISNA(HLOOKUP("start",ESLData!C$1:C$9960,MATCH($A778,ESLData!$B$1:$B$9960,0))),"",HLOOKUP("start",ESLData!C$1:C$9960,MATCH($A778,ESLData!$B$1:$B$9960,0)))</f>
        <v>Vehicle Insurance</v>
      </c>
    </row>
    <row r="779" spans="1:11" ht="14.25" customHeight="1" x14ac:dyDescent="0.2">
      <c r="A779" s="145" t="s">
        <v>1456</v>
      </c>
      <c r="C779" s="143">
        <f>HLOOKUP("start",ESLData!E$1:E$9960,MATCH($A779,ESLData!$B$1:$B$9960,0))</f>
        <v>0</v>
      </c>
      <c r="E779" s="143">
        <f>HLOOKUP("start",ESLData!F$1:F$9960,MATCH($A779,ESLData!$B$1:$B$9960,0))</f>
        <v>0</v>
      </c>
      <c r="G779" s="143">
        <f>HLOOKUP("start",ESLData!H$1:H$9960,MATCH($A779,ESLData!$B$1:$B$9960,0))</f>
        <v>0</v>
      </c>
      <c r="J779" s="156" t="s">
        <v>987</v>
      </c>
      <c r="K779" s="142" t="str">
        <f>IF(ISNA(HLOOKUP("start",ESLData!C$1:C$9960,MATCH($A779,ESLData!$B$1:$B$9960,0))),"",HLOOKUP("start",ESLData!C$1:C$9960,MATCH($A779,ESLData!$B$1:$B$9960,0)))</f>
        <v>Vehicle Maintenance</v>
      </c>
    </row>
    <row r="780" spans="1:11" ht="14.25" customHeight="1" x14ac:dyDescent="0.2">
      <c r="A780" s="144">
        <v>35310</v>
      </c>
      <c r="C780" s="143">
        <f>HLOOKUP("start",ESLData!E$1:E$9960,MATCH($A780,ESLData!$B$1:$B$9960,0))</f>
        <v>0</v>
      </c>
      <c r="E780" s="143">
        <f>HLOOKUP("start",ESLData!F$1:F$9960,MATCH($A780,ESLData!$B$1:$B$9960,0))</f>
        <v>0</v>
      </c>
      <c r="G780" s="143">
        <f>HLOOKUP("start",ESLData!H$1:H$9960,MATCH($A780,ESLData!$B$1:$B$9960,0))</f>
        <v>0</v>
      </c>
      <c r="J780" s="156" t="s">
        <v>987</v>
      </c>
      <c r="K780" s="142" t="str">
        <f>IF(ISNA(HLOOKUP("start",ESLData!C$1:C$9960,MATCH($A780,ESLData!$B$1:$B$9960,0))),"",HLOOKUP("start",ESLData!C$1:C$9960,MATCH($A780,ESLData!$B$1:$B$9960,0)))</f>
        <v>Vehicle Insurance</v>
      </c>
    </row>
    <row r="781" spans="1:11" ht="14.25" customHeight="1" x14ac:dyDescent="0.2">
      <c r="A781" s="144">
        <v>35315</v>
      </c>
      <c r="C781" s="143">
        <f>HLOOKUP("start",ESLData!E$1:E$9960,MATCH($A781,ESLData!$B$1:$B$9960,0))</f>
        <v>0</v>
      </c>
      <c r="E781" s="143">
        <f>HLOOKUP("start",ESLData!F$1:F$9960,MATCH($A781,ESLData!$B$1:$B$9960,0))</f>
        <v>0</v>
      </c>
      <c r="G781" s="143">
        <f>HLOOKUP("start",ESLData!H$1:H$9960,MATCH($A781,ESLData!$B$1:$B$9960,0))</f>
        <v>0</v>
      </c>
      <c r="J781" s="156" t="s">
        <v>987</v>
      </c>
      <c r="K781" s="142" t="str">
        <f>IF(ISNA(HLOOKUP("start",ESLData!C$1:C$9960,MATCH($A781,ESLData!$B$1:$B$9960,0))),"",HLOOKUP("start",ESLData!C$1:C$9960,MATCH($A781,ESLData!$B$1:$B$9960,0)))</f>
        <v>Vehicle R&amp;M</v>
      </c>
    </row>
    <row r="782" spans="1:11" ht="14.25" customHeight="1" x14ac:dyDescent="0.2">
      <c r="A782" s="144">
        <v>35610</v>
      </c>
      <c r="C782" s="143">
        <f>HLOOKUP("start",ESLData!E$1:E$9960,MATCH($A782,ESLData!$B$1:$B$9960,0))</f>
        <v>0</v>
      </c>
      <c r="E782" s="143">
        <f>HLOOKUP("start",ESLData!F$1:F$9960,MATCH($A782,ESLData!$B$1:$B$9960,0))</f>
        <v>0</v>
      </c>
      <c r="G782" s="143">
        <f>HLOOKUP("start",ESLData!H$1:H$9960,MATCH($A782,ESLData!$B$1:$B$9960,0))</f>
        <v>0</v>
      </c>
      <c r="J782" s="156" t="s">
        <v>987</v>
      </c>
      <c r="K782" s="142" t="str">
        <f>IF(ISNA(HLOOKUP("start",ESLData!C$1:C$9960,MATCH($A782,ESLData!$B$1:$B$9960,0))),"",HLOOKUP("start",ESLData!C$1:C$9960,MATCH($A782,ESLData!$B$1:$B$9960,0)))</f>
        <v>Vehicle Insurance</v>
      </c>
    </row>
    <row r="783" spans="1:11" ht="14.25" customHeight="1" x14ac:dyDescent="0.2">
      <c r="A783" s="144">
        <v>35615</v>
      </c>
      <c r="C783" s="143">
        <f>HLOOKUP("start",ESLData!E$1:E$9960,MATCH($A783,ESLData!$B$1:$B$9960,0))</f>
        <v>0</v>
      </c>
      <c r="E783" s="143">
        <f>HLOOKUP("start",ESLData!F$1:F$9960,MATCH($A783,ESLData!$B$1:$B$9960,0))</f>
        <v>0</v>
      </c>
      <c r="G783" s="143">
        <f>HLOOKUP("start",ESLData!H$1:H$9960,MATCH($A783,ESLData!$B$1:$B$9960,0))</f>
        <v>0</v>
      </c>
      <c r="J783" s="156" t="s">
        <v>987</v>
      </c>
      <c r="K783" s="142" t="str">
        <f>IF(ISNA(HLOOKUP("start",ESLData!C$1:C$9960,MATCH($A783,ESLData!$B$1:$B$9960,0))),"",HLOOKUP("start",ESLData!C$1:C$9960,MATCH($A783,ESLData!$B$1:$B$9960,0)))</f>
        <v>Vehicle Maintenance</v>
      </c>
    </row>
    <row r="784" spans="1:11" ht="14.25" customHeight="1" x14ac:dyDescent="0.2">
      <c r="A784" s="144">
        <v>39003</v>
      </c>
      <c r="C784" s="143">
        <f>HLOOKUP("start",ESLData!E$1:E$9960,MATCH($A784,ESLData!$B$1:$B$9960,0))</f>
        <v>0</v>
      </c>
      <c r="E784" s="143">
        <f>HLOOKUP("start",ESLData!F$1:F$9960,MATCH($A784,ESLData!$B$1:$B$9960,0))</f>
        <v>0</v>
      </c>
      <c r="G784" s="143">
        <f>HLOOKUP("start",ESLData!H$1:H$9960,MATCH($A784,ESLData!$B$1:$B$9960,0))</f>
        <v>0</v>
      </c>
      <c r="J784" s="156" t="s">
        <v>987</v>
      </c>
      <c r="K784" s="142" t="str">
        <f>IF(ISNA(HLOOKUP("start",ESLData!C$1:C$9960,MATCH($A784,ESLData!$B$1:$B$9960,0))),"",HLOOKUP("start",ESLData!C$1:C$9960,MATCH($A784,ESLData!$B$1:$B$9960,0)))</f>
        <v>Vehicle Insurance</v>
      </c>
    </row>
    <row r="785" spans="1:11" ht="14.25" customHeight="1" x14ac:dyDescent="0.2">
      <c r="A785" s="144">
        <v>39004</v>
      </c>
      <c r="C785" s="143">
        <f>HLOOKUP("start",ESLData!E$1:E$9960,MATCH($A785,ESLData!$B$1:$B$9960,0))</f>
        <v>0</v>
      </c>
      <c r="E785" s="143">
        <f>HLOOKUP("start",ESLData!F$1:F$9960,MATCH($A785,ESLData!$B$1:$B$9960,0))</f>
        <v>0</v>
      </c>
      <c r="G785" s="143">
        <f>HLOOKUP("start",ESLData!H$1:H$9960,MATCH($A785,ESLData!$B$1:$B$9960,0))</f>
        <v>0</v>
      </c>
      <c r="J785" s="156" t="s">
        <v>987</v>
      </c>
      <c r="K785" s="142" t="str">
        <f>IF(ISNA(HLOOKUP("start",ESLData!C$1:C$9960,MATCH($A785,ESLData!$B$1:$B$9960,0))),"",HLOOKUP("start",ESLData!C$1:C$9960,MATCH($A785,ESLData!$B$1:$B$9960,0)))</f>
        <v>Vehicle Maintenance</v>
      </c>
    </row>
    <row r="786" spans="1:11" ht="14.25" customHeight="1" x14ac:dyDescent="0.2">
      <c r="A786" s="144">
        <v>39053</v>
      </c>
      <c r="C786" s="143">
        <f>HLOOKUP("start",ESLData!E$1:E$9960,MATCH($A786,ESLData!$B$1:$B$9960,0))</f>
        <v>0</v>
      </c>
      <c r="E786" s="143">
        <f>HLOOKUP("start",ESLData!F$1:F$9960,MATCH($A786,ESLData!$B$1:$B$9960,0))</f>
        <v>0</v>
      </c>
      <c r="G786" s="143">
        <f>HLOOKUP("start",ESLData!H$1:H$9960,MATCH($A786,ESLData!$B$1:$B$9960,0))</f>
        <v>0</v>
      </c>
      <c r="J786" s="156" t="s">
        <v>987</v>
      </c>
      <c r="K786" s="142" t="str">
        <f>IF(ISNA(HLOOKUP("start",ESLData!C$1:C$9960,MATCH($A786,ESLData!$B$1:$B$9960,0))),"",HLOOKUP("start",ESLData!C$1:C$9960,MATCH($A786,ESLData!$B$1:$B$9960,0)))</f>
        <v>Vehicle Insurance</v>
      </c>
    </row>
    <row r="787" spans="1:11" ht="14.25" customHeight="1" x14ac:dyDescent="0.2">
      <c r="A787" s="144">
        <v>39054</v>
      </c>
      <c r="C787" s="143">
        <f>HLOOKUP("start",ESLData!E$1:E$9960,MATCH($A787,ESLData!$B$1:$B$9960,0))</f>
        <v>0</v>
      </c>
      <c r="E787" s="143">
        <f>HLOOKUP("start",ESLData!F$1:F$9960,MATCH($A787,ESLData!$B$1:$B$9960,0))</f>
        <v>0</v>
      </c>
      <c r="G787" s="143">
        <f>HLOOKUP("start",ESLData!H$1:H$9960,MATCH($A787,ESLData!$B$1:$B$9960,0))</f>
        <v>0</v>
      </c>
      <c r="J787" s="156" t="s">
        <v>987</v>
      </c>
      <c r="K787" s="142" t="str">
        <f>IF(ISNA(HLOOKUP("start",ESLData!C$1:C$9960,MATCH($A787,ESLData!$B$1:$B$9960,0))),"",HLOOKUP("start",ESLData!C$1:C$9960,MATCH($A787,ESLData!$B$1:$B$9960,0)))</f>
        <v>Vehicle Maintenance</v>
      </c>
    </row>
    <row r="788" spans="1:11" ht="14.25" customHeight="1" x14ac:dyDescent="0.2">
      <c r="A788" s="144">
        <v>39103</v>
      </c>
      <c r="C788" s="143">
        <f>HLOOKUP("start",ESLData!E$1:E$9960,MATCH($A788,ESLData!$B$1:$B$9960,0))</f>
        <v>0</v>
      </c>
      <c r="E788" s="143">
        <f>HLOOKUP("start",ESLData!F$1:F$9960,MATCH($A788,ESLData!$B$1:$B$9960,0))</f>
        <v>0</v>
      </c>
      <c r="G788" s="143">
        <f>HLOOKUP("start",ESLData!H$1:H$9960,MATCH($A788,ESLData!$B$1:$B$9960,0))</f>
        <v>0</v>
      </c>
      <c r="J788" s="156" t="s">
        <v>987</v>
      </c>
      <c r="K788" s="142" t="str">
        <f>IF(ISNA(HLOOKUP("start",ESLData!C$1:C$9960,MATCH($A788,ESLData!$B$1:$B$9960,0))),"",HLOOKUP("start",ESLData!C$1:C$9960,MATCH($A788,ESLData!$B$1:$B$9960,0)))</f>
        <v>Vehicle Insurance</v>
      </c>
    </row>
    <row r="789" spans="1:11" ht="14.25" customHeight="1" x14ac:dyDescent="0.2">
      <c r="A789" s="144">
        <v>39153</v>
      </c>
      <c r="C789" s="143">
        <f>HLOOKUP("start",ESLData!E$1:E$9960,MATCH($A789,ESLData!$B$1:$B$9960,0))</f>
        <v>0</v>
      </c>
      <c r="E789" s="143">
        <f>HLOOKUP("start",ESLData!F$1:F$9960,MATCH($A789,ESLData!$B$1:$B$9960,0))</f>
        <v>0</v>
      </c>
      <c r="G789" s="143">
        <f>HLOOKUP("start",ESLData!H$1:H$9960,MATCH($A789,ESLData!$B$1:$B$9960,0))</f>
        <v>0</v>
      </c>
      <c r="J789" s="156" t="s">
        <v>987</v>
      </c>
      <c r="K789" s="142" t="str">
        <f>IF(ISNA(HLOOKUP("start",ESLData!C$1:C$9960,MATCH($A789,ESLData!$B$1:$B$9960,0))),"",HLOOKUP("start",ESLData!C$1:C$9960,MATCH($A789,ESLData!$B$1:$B$9960,0)))</f>
        <v>Vehicle Insurance</v>
      </c>
    </row>
    <row r="790" spans="1:11" ht="14.25" customHeight="1" x14ac:dyDescent="0.2">
      <c r="A790" s="144">
        <v>39154</v>
      </c>
      <c r="C790" s="143">
        <f>HLOOKUP("start",ESLData!E$1:E$9960,MATCH($A790,ESLData!$B$1:$B$9960,0))</f>
        <v>0</v>
      </c>
      <c r="E790" s="143">
        <f>HLOOKUP("start",ESLData!F$1:F$9960,MATCH($A790,ESLData!$B$1:$B$9960,0))</f>
        <v>0</v>
      </c>
      <c r="G790" s="143">
        <f>HLOOKUP("start",ESLData!H$1:H$9960,MATCH($A790,ESLData!$B$1:$B$9960,0))</f>
        <v>0</v>
      </c>
      <c r="J790" s="156" t="s">
        <v>987</v>
      </c>
      <c r="K790" s="142" t="str">
        <f>IF(ISNA(HLOOKUP("start",ESLData!C$1:C$9960,MATCH($A790,ESLData!$B$1:$B$9960,0))),"",HLOOKUP("start",ESLData!C$1:C$9960,MATCH($A790,ESLData!$B$1:$B$9960,0)))</f>
        <v>Vehicle Maintenance</v>
      </c>
    </row>
    <row r="791" spans="1:11" ht="14.25" customHeight="1" x14ac:dyDescent="0.2">
      <c r="A791" s="145" t="s">
        <v>1463</v>
      </c>
      <c r="C791" s="143">
        <f>HLOOKUP("start",ESLData!E$1:E$9960,MATCH($A791,ESLData!$B$1:$B$9960,0))</f>
        <v>0</v>
      </c>
      <c r="E791" s="143">
        <f>HLOOKUP("start",ESLData!F$1:F$9960,MATCH($A791,ESLData!$B$1:$B$9960,0))</f>
        <v>0</v>
      </c>
      <c r="G791" s="143">
        <f>HLOOKUP("start",ESLData!H$1:H$9960,MATCH($A791,ESLData!$B$1:$B$9960,0))</f>
        <v>0</v>
      </c>
      <c r="J791" s="156" t="s">
        <v>987</v>
      </c>
      <c r="K791" s="142" t="str">
        <f>IF(ISNA(HLOOKUP("start",ESLData!C$1:C$9960,MATCH($A791,ESLData!$B$1:$B$9960,0))),"",HLOOKUP("start",ESLData!C$1:C$9960,MATCH($A791,ESLData!$B$1:$B$9960,0)))</f>
        <v>PN - Vehicle Insurance</v>
      </c>
    </row>
    <row r="792" spans="1:11" ht="14.25" customHeight="1" x14ac:dyDescent="0.2">
      <c r="A792" s="144">
        <v>39254</v>
      </c>
      <c r="C792" s="143">
        <f>HLOOKUP("start",ESLData!E$1:E$9960,MATCH($A792,ESLData!$B$1:$B$9960,0))</f>
        <v>0</v>
      </c>
      <c r="E792" s="143">
        <f>HLOOKUP("start",ESLData!F$1:F$9960,MATCH($A792,ESLData!$B$1:$B$9960,0))</f>
        <v>0</v>
      </c>
      <c r="G792" s="143">
        <f>HLOOKUP("start",ESLData!H$1:H$9960,MATCH($A792,ESLData!$B$1:$B$9960,0))</f>
        <v>0</v>
      </c>
      <c r="J792" s="156" t="s">
        <v>987</v>
      </c>
      <c r="K792" s="142" t="str">
        <f>IF(ISNA(HLOOKUP("start",ESLData!C$1:C$9960,MATCH($A792,ESLData!$B$1:$B$9960,0))),"",HLOOKUP("start",ESLData!C$1:C$9960,MATCH($A792,ESLData!$B$1:$B$9960,0)))</f>
        <v>PN - Vehicle Maintenance</v>
      </c>
    </row>
    <row r="793" spans="1:11" ht="14.25" customHeight="1" x14ac:dyDescent="0.2">
      <c r="A793" s="145" t="s">
        <v>1465</v>
      </c>
      <c r="C793" s="143">
        <f>HLOOKUP("start",ESLData!E$1:E$9960,MATCH($A793,ESLData!$B$1:$B$9960,0))</f>
        <v>0</v>
      </c>
      <c r="E793" s="143">
        <f>HLOOKUP("start",ESLData!F$1:F$9960,MATCH($A793,ESLData!$B$1:$B$9960,0))</f>
        <v>0</v>
      </c>
      <c r="G793" s="143">
        <f>HLOOKUP("start",ESLData!H$1:H$9960,MATCH($A793,ESLData!$B$1:$B$9960,0))</f>
        <v>0</v>
      </c>
      <c r="J793" s="156" t="s">
        <v>987</v>
      </c>
      <c r="K793" s="142" t="str">
        <f>IF(ISNA(HLOOKUP("start",ESLData!C$1:C$9960,MATCH($A793,ESLData!$B$1:$B$9960,0))),"",HLOOKUP("start",ESLData!C$1:C$9960,MATCH($A793,ESLData!$B$1:$B$9960,0)))</f>
        <v>Vehicle Insurance</v>
      </c>
    </row>
    <row r="794" spans="1:11" ht="14.25" customHeight="1" x14ac:dyDescent="0.2">
      <c r="A794" s="145" t="s">
        <v>1466</v>
      </c>
      <c r="C794" s="143">
        <f>HLOOKUP("start",ESLData!E$1:E$9960,MATCH($A794,ESLData!$B$1:$B$9960,0))</f>
        <v>0</v>
      </c>
      <c r="E794" s="143">
        <f>HLOOKUP("start",ESLData!F$1:F$9960,MATCH($A794,ESLData!$B$1:$B$9960,0))</f>
        <v>0</v>
      </c>
      <c r="G794" s="143">
        <f>HLOOKUP("start",ESLData!H$1:H$9960,MATCH($A794,ESLData!$B$1:$B$9960,0))</f>
        <v>0</v>
      </c>
      <c r="J794" s="156" t="s">
        <v>987</v>
      </c>
      <c r="K794" s="142" t="str">
        <f>IF(ISNA(HLOOKUP("start",ESLData!C$1:C$9960,MATCH($A794,ESLData!$B$1:$B$9960,0))),"",HLOOKUP("start",ESLData!C$1:C$9960,MATCH($A794,ESLData!$B$1:$B$9960,0)))</f>
        <v>Vehicle Maintenance</v>
      </c>
    </row>
    <row r="795" spans="1:11" ht="14.25" customHeight="1" x14ac:dyDescent="0.2">
      <c r="A795" s="144">
        <v>39353</v>
      </c>
      <c r="C795" s="143">
        <f>HLOOKUP("start",ESLData!E$1:E$9960,MATCH($A795,ESLData!$B$1:$B$9960,0))</f>
        <v>0</v>
      </c>
      <c r="E795" s="143">
        <f>HLOOKUP("start",ESLData!F$1:F$9960,MATCH($A795,ESLData!$B$1:$B$9960,0))</f>
        <v>0</v>
      </c>
      <c r="G795" s="143">
        <f>HLOOKUP("start",ESLData!H$1:H$9960,MATCH($A795,ESLData!$B$1:$B$9960,0))</f>
        <v>0</v>
      </c>
      <c r="J795" s="156" t="s">
        <v>987</v>
      </c>
      <c r="K795" s="142" t="str">
        <f>IF(ISNA(HLOOKUP("start",ESLData!C$1:C$9960,MATCH($A795,ESLData!$B$1:$B$9960,0))),"",HLOOKUP("start",ESLData!C$1:C$9960,MATCH($A795,ESLData!$B$1:$B$9960,0)))</f>
        <v>Vehicle Insurance</v>
      </c>
    </row>
    <row r="796" spans="1:11" ht="14.25" customHeight="1" x14ac:dyDescent="0.2">
      <c r="A796" s="144">
        <v>39354</v>
      </c>
      <c r="C796" s="143">
        <f>HLOOKUP("start",ESLData!E$1:E$9960,MATCH($A796,ESLData!$B$1:$B$9960,0))</f>
        <v>0</v>
      </c>
      <c r="E796" s="143">
        <f>HLOOKUP("start",ESLData!F$1:F$9960,MATCH($A796,ESLData!$B$1:$B$9960,0))</f>
        <v>0</v>
      </c>
      <c r="G796" s="143">
        <f>HLOOKUP("start",ESLData!H$1:H$9960,MATCH($A796,ESLData!$B$1:$B$9960,0))</f>
        <v>0</v>
      </c>
      <c r="J796" s="156" t="s">
        <v>987</v>
      </c>
      <c r="K796" s="142" t="str">
        <f>IF(ISNA(HLOOKUP("start",ESLData!C$1:C$9960,MATCH($A796,ESLData!$B$1:$B$9960,0))),"",HLOOKUP("start",ESLData!C$1:C$9960,MATCH($A796,ESLData!$B$1:$B$9960,0)))</f>
        <v>Vehicle Maintenance</v>
      </c>
    </row>
    <row r="797" spans="1:11" ht="14.25" customHeight="1" x14ac:dyDescent="0.2">
      <c r="A797" s="144">
        <v>39410</v>
      </c>
      <c r="C797" s="143">
        <f>HLOOKUP("start",ESLData!E$1:E$9960,MATCH($A797,ESLData!$B$1:$B$9960,0))</f>
        <v>0</v>
      </c>
      <c r="E797" s="143">
        <f>HLOOKUP("start",ESLData!F$1:F$9960,MATCH($A797,ESLData!$B$1:$B$9960,0))</f>
        <v>0</v>
      </c>
      <c r="G797" s="143">
        <f>HLOOKUP("start",ESLData!H$1:H$9960,MATCH($A797,ESLData!$B$1:$B$9960,0))</f>
        <v>0</v>
      </c>
      <c r="J797" s="156" t="s">
        <v>987</v>
      </c>
      <c r="K797" s="142" t="str">
        <f>IF(ISNA(HLOOKUP("start",ESLData!C$1:C$9960,MATCH($A797,ESLData!$B$1:$B$9960,0))),"",HLOOKUP("start",ESLData!C$1:C$9960,MATCH($A797,ESLData!$B$1:$B$9960,0)))</f>
        <v>Otago - Vehicle Insurance</v>
      </c>
    </row>
    <row r="798" spans="1:11" ht="14.25" customHeight="1" x14ac:dyDescent="0.2">
      <c r="A798" s="144">
        <v>39415</v>
      </c>
      <c r="C798" s="143">
        <f>HLOOKUP("start",ESLData!E$1:E$9960,MATCH($A798,ESLData!$B$1:$B$9960,0))</f>
        <v>0</v>
      </c>
      <c r="D798" s="148"/>
      <c r="E798" s="143">
        <f>HLOOKUP("start",ESLData!F$1:F$9960,MATCH($A798,ESLData!$B$1:$B$9960,0))</f>
        <v>0</v>
      </c>
      <c r="F798" s="148"/>
      <c r="G798" s="143">
        <f>HLOOKUP("start",ESLData!H$1:H$9960,MATCH($A798,ESLData!$B$1:$B$9960,0))</f>
        <v>347.35</v>
      </c>
      <c r="H798" s="148"/>
      <c r="J798" s="156" t="s">
        <v>987</v>
      </c>
      <c r="K798" s="142" t="str">
        <f>IF(ISNA(HLOOKUP("start",ESLData!C$1:C$9960,MATCH($A798,ESLData!$B$1:$B$9960,0))),"",HLOOKUP("start",ESLData!C$1:C$9960,MATCH($A798,ESLData!$B$1:$B$9960,0)))</f>
        <v>Otago - Vehicle Maintenance</v>
      </c>
    </row>
    <row r="799" spans="1:11" ht="14.25" customHeight="1" x14ac:dyDescent="0.2">
      <c r="A799" s="144">
        <v>60220</v>
      </c>
      <c r="C799" s="143">
        <f>HLOOKUP("start",ESLData!E$1:E$9960,MATCH($A799,ESLData!$B$1:$B$9960,0))</f>
        <v>0</v>
      </c>
      <c r="E799" s="143">
        <f>HLOOKUP("start",ESLData!F$1:F$9960,MATCH($A799,ESLData!$B$1:$B$9960,0))</f>
        <v>0</v>
      </c>
      <c r="G799" s="143">
        <f>HLOOKUP("start",ESLData!H$1:H$9960,MATCH($A799,ESLData!$B$1:$B$9960,0))</f>
        <v>0</v>
      </c>
      <c r="J799" s="156" t="s">
        <v>987</v>
      </c>
      <c r="K799" s="142" t="str">
        <f>IF(ISNA(HLOOKUP("start",ESLData!C$1:C$9960,MATCH($A799,ESLData!$B$1:$B$9960,0))),"",HLOOKUP("start",ESLData!C$1:C$9960,MATCH($A799,ESLData!$B$1:$B$9960,0)))</f>
        <v>Regional ORS Res Development</v>
      </c>
    </row>
    <row r="800" spans="1:11" ht="14.25" customHeight="1" x14ac:dyDescent="0.2">
      <c r="A800" s="144">
        <v>60865</v>
      </c>
      <c r="C800" s="143">
        <f>HLOOKUP("start",ESLData!E$1:E$9960,MATCH($A800,ESLData!$B$1:$B$9960,0))</f>
        <v>0</v>
      </c>
      <c r="E800" s="143">
        <f>HLOOKUP("start",ESLData!F$1:F$9960,MATCH($A800,ESLData!$B$1:$B$9960,0))</f>
        <v>0</v>
      </c>
      <c r="G800" s="143">
        <f>HLOOKUP("start",ESLData!H$1:H$9960,MATCH($A800,ESLData!$B$1:$B$9960,0))</f>
        <v>0</v>
      </c>
      <c r="J800" s="156" t="s">
        <v>987</v>
      </c>
      <c r="K800" s="142" t="str">
        <f>IF(ISNA(HLOOKUP("start",ESLData!C$1:C$9960,MATCH($A800,ESLData!$B$1:$B$9960,0))),"",HLOOKUP("start",ESLData!C$1:C$9960,MATCH($A800,ESLData!$B$1:$B$9960,0)))</f>
        <v>Communication Strategy</v>
      </c>
    </row>
    <row r="801" spans="1:11" ht="14.25" customHeight="1" x14ac:dyDescent="0.2">
      <c r="A801" s="144">
        <v>60875</v>
      </c>
      <c r="C801" s="143">
        <f>HLOOKUP("start",ESLData!E$1:E$9960,MATCH($A801,ESLData!$B$1:$B$9960,0))</f>
        <v>0</v>
      </c>
      <c r="E801" s="143">
        <f>HLOOKUP("start",ESLData!F$1:F$9960,MATCH($A801,ESLData!$B$1:$B$9960,0))</f>
        <v>0</v>
      </c>
      <c r="G801" s="143">
        <f>HLOOKUP("start",ESLData!H$1:H$9960,MATCH($A801,ESLData!$B$1:$B$9960,0))</f>
        <v>0</v>
      </c>
      <c r="J801" s="156" t="s">
        <v>987</v>
      </c>
      <c r="K801" s="142" t="str">
        <f>IF(ISNA(HLOOKUP("start",ESLData!C$1:C$9960,MATCH($A801,ESLData!$B$1:$B$9960,0))),"",HLOOKUP("start",ESLData!C$1:C$9960,MATCH($A801,ESLData!$B$1:$B$9960,0)))</f>
        <v>Set Up Costs</v>
      </c>
    </row>
    <row r="802" spans="1:11" ht="14.25" customHeight="1" x14ac:dyDescent="0.2">
      <c r="A802" s="145" t="s">
        <v>1459</v>
      </c>
      <c r="C802" s="143">
        <f>HLOOKUP("start",ESLData!E$1:E$9960,MATCH($A802,ESLData!$B$1:$B$9960,0))</f>
        <v>0</v>
      </c>
      <c r="E802" s="143">
        <f>HLOOKUP("start",ESLData!F$1:F$9960,MATCH($A802,ESLData!$B$1:$B$9960,0))</f>
        <v>0</v>
      </c>
      <c r="G802" s="143">
        <f>HLOOKUP("start",ESLData!H$1:H$9960,MATCH($A802,ESLData!$B$1:$B$9960,0))</f>
        <v>0</v>
      </c>
      <c r="J802" s="156" t="s">
        <v>987</v>
      </c>
      <c r="K802" s="142" t="str">
        <f>IF(ISNA(HLOOKUP("start",ESLData!C$1:C$9960,MATCH($A802,ESLData!$B$1:$B$9960,0))),"",HLOOKUP("start",ESLData!C$1:C$9960,MATCH($A802,ESLData!$B$1:$B$9960,0)))</f>
        <v>Consumables</v>
      </c>
    </row>
    <row r="803" spans="1:11" ht="14.25" customHeight="1" x14ac:dyDescent="0.2">
      <c r="A803" s="145" t="s">
        <v>1451</v>
      </c>
      <c r="C803" s="143">
        <f>HLOOKUP("start",ESLData!E$1:E$9960,MATCH($A803,ESLData!$B$1:$B$9960,0))</f>
        <v>0</v>
      </c>
      <c r="E803" s="143">
        <f>HLOOKUP("start",ESLData!F$1:F$9960,MATCH($A803,ESLData!$B$1:$B$9960,0))</f>
        <v>0</v>
      </c>
      <c r="G803" s="143">
        <f>HLOOKUP("start",ESLData!H$1:H$9960,MATCH($A803,ESLData!$B$1:$B$9960,0))</f>
        <v>0</v>
      </c>
      <c r="J803" s="156" t="s">
        <v>987</v>
      </c>
      <c r="K803" s="142" t="str">
        <f>IF(ISNA(HLOOKUP("start",ESLData!C$1:C$9960,MATCH($A803,ESLData!$B$1:$B$9960,0))),"",HLOOKUP("start",ESLData!C$1:C$9960,MATCH($A803,ESLData!$B$1:$B$9960,0)))</f>
        <v>Renovations</v>
      </c>
    </row>
    <row r="804" spans="1:11" ht="14.25" customHeight="1" x14ac:dyDescent="0.2">
      <c r="A804" s="144">
        <v>35170</v>
      </c>
      <c r="C804" s="143">
        <f>HLOOKUP("start",ESLData!E$1:E$9960,MATCH($A804,ESLData!$B$1:$B$9960,0))</f>
        <v>832.5</v>
      </c>
      <c r="E804" s="143">
        <f>HLOOKUP("start",ESLData!F$1:F$9960,MATCH($A804,ESLData!$B$1:$B$9960,0))</f>
        <v>7000</v>
      </c>
      <c r="G804" s="143">
        <f>HLOOKUP("start",ESLData!H$1:H$9960,MATCH($A804,ESLData!$B$1:$B$9960,0))</f>
        <v>1033</v>
      </c>
      <c r="J804" s="156" t="s">
        <v>987</v>
      </c>
      <c r="K804" s="142" t="str">
        <f>IF(ISNA(HLOOKUP("start",ESLData!C$1:C$9960,MATCH($A804,ESLData!$B$1:$B$9960,0))),"",HLOOKUP("start",ESLData!C$1:C$9960,MATCH($A804,ESLData!$B$1:$B$9960,0)))</f>
        <v>VRC Co-ordinators Meetings</v>
      </c>
    </row>
    <row r="805" spans="1:11" ht="14.25" customHeight="1" x14ac:dyDescent="0.2">
      <c r="A805" s="144">
        <v>35189</v>
      </c>
      <c r="C805" s="143">
        <f>HLOOKUP("start",ESLData!E$1:E$9960,MATCH($A805,ESLData!$B$1:$B$9960,0))</f>
        <v>0</v>
      </c>
      <c r="E805" s="143">
        <f>HLOOKUP("start",ESLData!F$1:F$9960,MATCH($A805,ESLData!$B$1:$B$9960,0))</f>
        <v>0</v>
      </c>
      <c r="G805" s="143">
        <f>HLOOKUP("start",ESLData!H$1:H$9960,MATCH($A805,ESLData!$B$1:$B$9960,0))</f>
        <v>0</v>
      </c>
      <c r="J805" s="156" t="s">
        <v>987</v>
      </c>
      <c r="K805" s="142" t="str">
        <f>IF(ISNA(HLOOKUP("start",ESLData!C$1:C$9960,MATCH($A805,ESLData!$B$1:$B$9960,0))),"",HLOOKUP("start",ESLData!C$1:C$9960,MATCH($A805,ESLData!$B$1:$B$9960,0)))</f>
        <v>Building Move Cost</v>
      </c>
    </row>
    <row r="806" spans="1:11" ht="14.25" customHeight="1" x14ac:dyDescent="0.2">
      <c r="A806" s="145" t="s">
        <v>1457</v>
      </c>
      <c r="C806" s="143">
        <f>HLOOKUP("start",ESLData!E$1:E$9960,MATCH($A806,ESLData!$B$1:$B$9960,0))</f>
        <v>0</v>
      </c>
      <c r="E806" s="143">
        <f>HLOOKUP("start",ESLData!F$1:F$9960,MATCH($A806,ESLData!$B$1:$B$9960,0))</f>
        <v>0</v>
      </c>
      <c r="G806" s="143">
        <f>HLOOKUP("start",ESLData!H$1:H$9960,MATCH($A806,ESLData!$B$1:$B$9960,0))</f>
        <v>0</v>
      </c>
      <c r="J806" s="156" t="s">
        <v>987</v>
      </c>
      <c r="K806" s="142" t="str">
        <f>IF(ISNA(HLOOKUP("start",ESLData!C$1:C$9960,MATCH($A806,ESLData!$B$1:$B$9960,0))),"",HLOOKUP("start",ESLData!C$1:C$9960,MATCH($A806,ESLData!$B$1:$B$9960,0)))</f>
        <v>Equipment Maintenance</v>
      </c>
    </row>
    <row r="807" spans="1:11" ht="14.25" customHeight="1" x14ac:dyDescent="0.2">
      <c r="A807" s="145" t="s">
        <v>1458</v>
      </c>
      <c r="C807" s="143">
        <f>HLOOKUP("start",ESLData!E$1:E$9960,MATCH($A807,ESLData!$B$1:$B$9960,0))</f>
        <v>0</v>
      </c>
      <c r="E807" s="143">
        <f>HLOOKUP("start",ESLData!F$1:F$9960,MATCH($A807,ESLData!$B$1:$B$9960,0))</f>
        <v>0</v>
      </c>
      <c r="G807" s="143">
        <f>HLOOKUP("start",ESLData!H$1:H$9960,MATCH($A807,ESLData!$B$1:$B$9960,0))</f>
        <v>0</v>
      </c>
      <c r="J807" s="156" t="s">
        <v>987</v>
      </c>
      <c r="K807" s="142" t="str">
        <f>IF(ISNA(HLOOKUP("start",ESLData!C$1:C$9960,MATCH($A807,ESLData!$B$1:$B$9960,0))),"",HLOOKUP("start",ESLData!C$1:C$9960,MATCH($A807,ESLData!$B$1:$B$9960,0)))</f>
        <v>Photocopying</v>
      </c>
    </row>
    <row r="808" spans="1:11" ht="14.25" customHeight="1" x14ac:dyDescent="0.2">
      <c r="A808" s="144">
        <v>35270</v>
      </c>
      <c r="C808" s="143">
        <f>HLOOKUP("start",ESLData!E$1:E$9960,MATCH($A808,ESLData!$B$1:$B$9960,0))</f>
        <v>0</v>
      </c>
      <c r="E808" s="143">
        <f>HLOOKUP("start",ESLData!F$1:F$9960,MATCH($A808,ESLData!$B$1:$B$9960,0))</f>
        <v>0</v>
      </c>
      <c r="G808" s="143">
        <f>HLOOKUP("start",ESLData!H$1:H$9960,MATCH($A808,ESLData!$B$1:$B$9960,0))</f>
        <v>0</v>
      </c>
      <c r="J808" s="156" t="s">
        <v>987</v>
      </c>
      <c r="K808" s="142" t="str">
        <f>IF(ISNA(HLOOKUP("start",ESLData!C$1:C$9960,MATCH($A808,ESLData!$B$1:$B$9960,0))),"",HLOOKUP("start",ESLData!C$1:C$9960,MATCH($A808,ESLData!$B$1:$B$9960,0)))</f>
        <v>Printing/Stationery</v>
      </c>
    </row>
    <row r="809" spans="1:11" ht="14.25" customHeight="1" x14ac:dyDescent="0.2">
      <c r="A809" s="145" t="s">
        <v>1460</v>
      </c>
      <c r="C809" s="143">
        <f>HLOOKUP("start",ESLData!E$1:E$9960,MATCH($A809,ESLData!$B$1:$B$9960,0))</f>
        <v>0</v>
      </c>
      <c r="E809" s="143">
        <f>HLOOKUP("start",ESLData!F$1:F$9960,MATCH($A809,ESLData!$B$1:$B$9960,0))</f>
        <v>0</v>
      </c>
      <c r="G809" s="143">
        <f>HLOOKUP("start",ESLData!H$1:H$9960,MATCH($A809,ESLData!$B$1:$B$9960,0))</f>
        <v>0</v>
      </c>
      <c r="J809" s="156" t="s">
        <v>987</v>
      </c>
      <c r="K809" s="142" t="str">
        <f>IF(ISNA(HLOOKUP("start",ESLData!C$1:C$9960,MATCH($A809,ESLData!$B$1:$B$9960,0))),"",HLOOKUP("start",ESLData!C$1:C$9960,MATCH($A809,ESLData!$B$1:$B$9960,0)))</f>
        <v>Publications</v>
      </c>
    </row>
    <row r="810" spans="1:11" ht="14.25" customHeight="1" x14ac:dyDescent="0.2">
      <c r="A810" s="144">
        <v>35278</v>
      </c>
      <c r="C810" s="143">
        <f>HLOOKUP("start",ESLData!E$1:E$9960,MATCH($A810,ESLData!$B$1:$B$9960,0))</f>
        <v>0</v>
      </c>
      <c r="E810" s="143">
        <f>HLOOKUP("start",ESLData!F$1:F$9960,MATCH($A810,ESLData!$B$1:$B$9960,0))</f>
        <v>0</v>
      </c>
      <c r="G810" s="143">
        <f>HLOOKUP("start",ESLData!H$1:H$9960,MATCH($A810,ESLData!$B$1:$B$9960,0))</f>
        <v>0</v>
      </c>
      <c r="J810" s="156" t="s">
        <v>987</v>
      </c>
      <c r="K810" s="142" t="str">
        <f>IF(ISNA(HLOOKUP("start",ESLData!C$1:C$9960,MATCH($A810,ESLData!$B$1:$B$9960,0))),"",HLOOKUP("start",ESLData!C$1:C$9960,MATCH($A810,ESLData!$B$1:$B$9960,0)))</f>
        <v>Subs/Membership Fees</v>
      </c>
    </row>
    <row r="811" spans="1:11" ht="14.25" customHeight="1" x14ac:dyDescent="0.2">
      <c r="A811" s="144">
        <v>35280</v>
      </c>
      <c r="C811" s="143">
        <f>HLOOKUP("start",ESLData!E$1:E$9960,MATCH($A811,ESLData!$B$1:$B$9960,0))</f>
        <v>0</v>
      </c>
      <c r="E811" s="143">
        <f>HLOOKUP("start",ESLData!F$1:F$9960,MATCH($A811,ESLData!$B$1:$B$9960,0))</f>
        <v>0</v>
      </c>
      <c r="G811" s="143">
        <f>HLOOKUP("start",ESLData!H$1:H$9960,MATCH($A811,ESLData!$B$1:$B$9960,0))</f>
        <v>0</v>
      </c>
      <c r="J811" s="156" t="s">
        <v>987</v>
      </c>
      <c r="K811" s="142" t="str">
        <f>IF(ISNA(HLOOKUP("start",ESLData!C$1:C$9960,MATCH($A811,ESLData!$B$1:$B$9960,0))),"",HLOOKUP("start",ESLData!C$1:C$9960,MATCH($A811,ESLData!$B$1:$B$9960,0)))</f>
        <v>Muffin Break Expenses</v>
      </c>
    </row>
    <row r="812" spans="1:11" ht="14.25" customHeight="1" x14ac:dyDescent="0.2">
      <c r="A812" s="144">
        <v>35283</v>
      </c>
      <c r="C812" s="143">
        <f>HLOOKUP("start",ESLData!E$1:E$9960,MATCH($A812,ESLData!$B$1:$B$9960,0))</f>
        <v>0</v>
      </c>
      <c r="E812" s="143">
        <f>HLOOKUP("start",ESLData!F$1:F$9960,MATCH($A812,ESLData!$B$1:$B$9960,0))</f>
        <v>0</v>
      </c>
      <c r="G812" s="143">
        <f>HLOOKUP("start",ESLData!H$1:H$9960,MATCH($A812,ESLData!$B$1:$B$9960,0))</f>
        <v>0</v>
      </c>
      <c r="J812" s="156" t="s">
        <v>987</v>
      </c>
      <c r="K812" s="142" t="str">
        <f>IF(ISNA(HLOOKUP("start",ESLData!C$1:C$9960,MATCH($A812,ESLData!$B$1:$B$9960,0))),"",HLOOKUP("start",ESLData!C$1:C$9960,MATCH($A812,ESLData!$B$1:$B$9960,0)))</f>
        <v>Resource Production</v>
      </c>
    </row>
    <row r="813" spans="1:11" ht="14.25" customHeight="1" x14ac:dyDescent="0.2">
      <c r="A813" s="144">
        <v>62360</v>
      </c>
      <c r="C813" s="143">
        <f>HLOOKUP("start",ESLData!E$1:E$9960,MATCH($A813,ESLData!$B$1:$B$9960,0))</f>
        <v>450.73</v>
      </c>
      <c r="E813" s="143">
        <f>HLOOKUP("start",ESLData!F$1:F$9960,MATCH($A813,ESLData!$B$1:$B$9960,0))</f>
        <v>200</v>
      </c>
      <c r="G813" s="143">
        <f>HLOOKUP("start",ESLData!H$1:H$9960,MATCH($A813,ESLData!$B$1:$B$9960,0))</f>
        <v>277.81</v>
      </c>
      <c r="J813" s="156" t="s">
        <v>987</v>
      </c>
      <c r="K813" s="142" t="str">
        <f>IF(ISNA(HLOOKUP("start",ESLData!C$1:C$9960,MATCH($A813,ESLData!$B$1:$B$9960,0))),"",HLOOKUP("start",ESLData!C$1:C$9960,MATCH($A813,ESLData!$B$1:$B$9960,0)))</f>
        <v>Auck South - Publications</v>
      </c>
    </row>
    <row r="814" spans="1:11" ht="14.25" customHeight="1" x14ac:dyDescent="0.2">
      <c r="A814" s="144">
        <v>62400</v>
      </c>
      <c r="C814" s="143">
        <f>HLOOKUP("start",ESLData!E$1:E$9960,MATCH($A814,ESLData!$B$1:$B$9960,0))</f>
        <v>0</v>
      </c>
      <c r="E814" s="143">
        <f>HLOOKUP("start",ESLData!F$1:F$9960,MATCH($A814,ESLData!$B$1:$B$9960,0))</f>
        <v>0</v>
      </c>
      <c r="G814" s="143">
        <f>HLOOKUP("start",ESLData!H$1:H$9960,MATCH($A814,ESLData!$B$1:$B$9960,0))</f>
        <v>0</v>
      </c>
      <c r="J814" s="156" t="s">
        <v>987</v>
      </c>
      <c r="K814" s="142" t="str">
        <f>IF(ISNA(HLOOKUP("start",ESLData!C$1:C$9960,MATCH($A814,ESLData!$B$1:$B$9960,0))),"",HLOOKUP("start",ESLData!C$1:C$9960,MATCH($A814,ESLData!$B$1:$B$9960,0)))</f>
        <v>Auck South - Subs/Membership Fees</v>
      </c>
    </row>
    <row r="815" spans="1:11" ht="14.25" customHeight="1" x14ac:dyDescent="0.2">
      <c r="A815" s="144">
        <v>35345</v>
      </c>
      <c r="C815" s="143">
        <f>HLOOKUP("start",ESLData!E$1:E$9960,MATCH($A815,ESLData!$B$1:$B$9960,0))</f>
        <v>0</v>
      </c>
      <c r="E815" s="143">
        <f>HLOOKUP("start",ESLData!F$1:F$9960,MATCH($A815,ESLData!$B$1:$B$9960,0))</f>
        <v>0</v>
      </c>
      <c r="G815" s="143">
        <f>HLOOKUP("start",ESLData!H$1:H$9960,MATCH($A815,ESLData!$B$1:$B$9960,0))</f>
        <v>0</v>
      </c>
      <c r="J815" s="156" t="s">
        <v>987</v>
      </c>
      <c r="K815" s="142" t="str">
        <f>IF(ISNA(HLOOKUP("start",ESLData!C$1:C$9960,MATCH($A815,ESLData!$B$1:$B$9960,0))),"",HLOOKUP("start",ESLData!C$1:C$9960,MATCH($A815,ESLData!$B$1:$B$9960,0)))</f>
        <v>Nelson - Publications</v>
      </c>
    </row>
    <row r="816" spans="1:11" ht="14.25" customHeight="1" x14ac:dyDescent="0.2">
      <c r="A816" s="144">
        <v>35365</v>
      </c>
      <c r="C816" s="143">
        <f>HLOOKUP("start",ESLData!E$1:E$9960,MATCH($A816,ESLData!$B$1:$B$9960,0))</f>
        <v>0</v>
      </c>
      <c r="E816" s="143">
        <f>HLOOKUP("start",ESLData!F$1:F$9960,MATCH($A816,ESLData!$B$1:$B$9960,0))</f>
        <v>0</v>
      </c>
      <c r="G816" s="143">
        <f>HLOOKUP("start",ESLData!H$1:H$9960,MATCH($A816,ESLData!$B$1:$B$9960,0))</f>
        <v>0</v>
      </c>
      <c r="J816" s="156" t="s">
        <v>987</v>
      </c>
      <c r="K816" s="142" t="str">
        <f>IF(ISNA(HLOOKUP("start",ESLData!C$1:C$9960,MATCH($A816,ESLData!$B$1:$B$9960,0))),"",HLOOKUP("start",ESLData!C$1:C$9960,MATCH($A816,ESLData!$B$1:$B$9960,0)))</f>
        <v>Itinerant Music Costs</v>
      </c>
    </row>
    <row r="817" spans="1:11" ht="14.25" customHeight="1" x14ac:dyDescent="0.2">
      <c r="A817" s="144">
        <v>39113</v>
      </c>
      <c r="C817" s="143">
        <f>HLOOKUP("start",ESLData!E$1:E$9960,MATCH($A817,ESLData!$B$1:$B$9960,0))</f>
        <v>0</v>
      </c>
      <c r="E817" s="143">
        <f>HLOOKUP("start",ESLData!F$1:F$9960,MATCH($A817,ESLData!$B$1:$B$9960,0))</f>
        <v>0</v>
      </c>
      <c r="G817" s="143">
        <f>HLOOKUP("start",ESLData!H$1:H$9960,MATCH($A817,ESLData!$B$1:$B$9960,0))</f>
        <v>0</v>
      </c>
      <c r="J817" s="156" t="s">
        <v>987</v>
      </c>
      <c r="K817" s="142" t="str">
        <f>IF(ISNA(HLOOKUP("start",ESLData!C$1:C$9960,MATCH($A817,ESLData!$B$1:$B$9960,0))),"",HLOOKUP("start",ESLData!C$1:C$9960,MATCH($A817,ESLData!$B$1:$B$9960,0)))</f>
        <v>Gisborne - Sovereign Trust</v>
      </c>
    </row>
    <row r="818" spans="1:11" ht="14.25" customHeight="1" x14ac:dyDescent="0.2">
      <c r="A818" s="144">
        <v>39170</v>
      </c>
      <c r="C818" s="143">
        <f>HLOOKUP("start",ESLData!E$1:E$9960,MATCH($A818,ESLData!$B$1:$B$9960,0))</f>
        <v>0</v>
      </c>
      <c r="E818" s="143">
        <f>HLOOKUP("start",ESLData!F$1:F$9960,MATCH($A818,ESLData!$B$1:$B$9960,0))</f>
        <v>0</v>
      </c>
      <c r="G818" s="143">
        <f>HLOOKUP("start",ESLData!H$1:H$9960,MATCH($A818,ESLData!$B$1:$B$9960,0))</f>
        <v>0</v>
      </c>
      <c r="J818" s="156" t="s">
        <v>987</v>
      </c>
      <c r="K818" s="142" t="str">
        <f>IF(ISNA(HLOOKUP("start",ESLData!C$1:C$9960,MATCH($A818,ESLData!$B$1:$B$9960,0))),"",HLOOKUP("start",ESLData!C$1:C$9960,MATCH($A818,ESLData!$B$1:$B$9960,0)))</f>
        <v>Music Therapy</v>
      </c>
    </row>
    <row r="819" spans="1:11" ht="14.25" customHeight="1" x14ac:dyDescent="0.2">
      <c r="A819" s="144">
        <v>39460</v>
      </c>
      <c r="C819" s="143">
        <f>HLOOKUP("start",ESLData!E$1:E$9960,MATCH($A819,ESLData!$B$1:$B$9960,0))</f>
        <v>45.36</v>
      </c>
      <c r="D819" s="162">
        <f>ROUND(SUM(C774:C819),0)</f>
        <v>1391</v>
      </c>
      <c r="E819" s="143">
        <f>HLOOKUP("start",ESLData!F$1:F$9960,MATCH($A819,ESLData!$B$1:$B$9960,0))</f>
        <v>500</v>
      </c>
      <c r="F819" s="155">
        <f>ROUND(SUM(E774:E819),0)</f>
        <v>7700</v>
      </c>
      <c r="G819" s="143">
        <f>HLOOKUP("start",ESLData!H$1:H$9960,MATCH($A819,ESLData!$B$1:$B$9960,0))</f>
        <v>677.76</v>
      </c>
      <c r="H819" s="162">
        <f>ROUND(SUM(G774:G819),0)</f>
        <v>2336</v>
      </c>
      <c r="J819" s="156" t="s">
        <v>987</v>
      </c>
      <c r="K819" s="142" t="str">
        <f>IF(ISNA(HLOOKUP("start",ESLData!C$1:C$9960,MATCH($A819,ESLData!$B$1:$B$9960,0))),"",HLOOKUP("start",ESLData!C$1:C$9960,MATCH($A819,ESLData!$B$1:$B$9960,0)))</f>
        <v>Otago - Educational Equipment</v>
      </c>
    </row>
    <row r="820" spans="1:11" ht="14.25" customHeight="1" x14ac:dyDescent="0.2">
      <c r="A820" s="147" t="s">
        <v>418</v>
      </c>
      <c r="C820" s="143"/>
      <c r="E820" s="143"/>
      <c r="G820" s="143"/>
      <c r="J820" s="156" t="s">
        <v>987</v>
      </c>
      <c r="K820" s="142" t="str">
        <f>IF(ISNA(HLOOKUP("start",ESLData!C$1:C$9960,MATCH($A820,ESLData!$B$1:$B$9960,0))),"",HLOOKUP("start",ESLData!C$1:C$9960,MATCH($A820,ESLData!$B$1:$B$9960,0)))</f>
        <v/>
      </c>
    </row>
    <row r="821" spans="1:11" ht="14.25" customHeight="1" x14ac:dyDescent="0.2">
      <c r="A821" s="144">
        <v>34700</v>
      </c>
      <c r="C821" s="143">
        <f>HLOOKUP("start",ESLData!E$1:E$9960,MATCH($A821,ESLData!$B$1:$B$9960,0))</f>
        <v>0</v>
      </c>
      <c r="E821" s="143">
        <f>HLOOKUP("start",ESLData!F$1:F$9960,MATCH($A821,ESLData!$B$1:$B$9960,0))</f>
        <v>0</v>
      </c>
      <c r="G821" s="143">
        <f>HLOOKUP("start",ESLData!H$1:H$9960,MATCH($A821,ESLData!$B$1:$B$9960,0))</f>
        <v>4579.82</v>
      </c>
      <c r="J821" s="156" t="s">
        <v>987</v>
      </c>
      <c r="K821" s="142" t="str">
        <f>IF(ISNA(HLOOKUP("start",ESLData!C$1:C$9960,MATCH($A821,ESLData!$B$1:$B$9960,0))),"",HLOOKUP("start",ESLData!C$1:C$9960,MATCH($A821,ESLData!$B$1:$B$9960,0)))</f>
        <v>Staffing</v>
      </c>
    </row>
    <row r="822" spans="1:11" ht="14.25" customHeight="1" x14ac:dyDescent="0.2">
      <c r="A822" s="144">
        <v>34800</v>
      </c>
      <c r="C822" s="143">
        <f>HLOOKUP("start",ESLData!E$1:E$9960,MATCH($A822,ESLData!$B$1:$B$9960,0))</f>
        <v>-30</v>
      </c>
      <c r="E822" s="143">
        <f>HLOOKUP("start",ESLData!F$1:F$9960,MATCH($A822,ESLData!$B$1:$B$9960,0))</f>
        <v>0</v>
      </c>
      <c r="G822" s="143">
        <f>HLOOKUP("start",ESLData!H$1:H$9960,MATCH($A822,ESLData!$B$1:$B$9960,0))</f>
        <v>0</v>
      </c>
      <c r="J822" s="156" t="s">
        <v>987</v>
      </c>
      <c r="K822" s="142" t="str">
        <f>IF(ISNA(HLOOKUP("start",ESLData!C$1:C$9960,MATCH($A822,ESLData!$B$1:$B$9960,0))),"",HLOOKUP("start",ESLData!C$1:C$9960,MATCH($A822,ESLData!$B$1:$B$9960,0)))</f>
        <v>Salaries</v>
      </c>
    </row>
    <row r="823" spans="1:11" s="150" customFormat="1" ht="14.25" customHeight="1" x14ac:dyDescent="0.2">
      <c r="A823" s="144">
        <v>38928</v>
      </c>
      <c r="B823" s="142"/>
      <c r="C823" s="143">
        <f>HLOOKUP("start",ESLData!E$1:E$9960,MATCH($A823,ESLData!$B$1:$B$9960,0))</f>
        <v>0</v>
      </c>
      <c r="D823" s="142"/>
      <c r="E823" s="143">
        <f>HLOOKUP("start",ESLData!F$1:F$9960,MATCH($A823,ESLData!$B$1:$B$9960,0))</f>
        <v>0</v>
      </c>
      <c r="F823" s="142"/>
      <c r="G823" s="143">
        <f>HLOOKUP("start",ESLData!H$1:H$9960,MATCH($A823,ESLData!$B$1:$B$9960,0))</f>
        <v>0</v>
      </c>
      <c r="H823" s="142"/>
      <c r="K823" s="142" t="str">
        <f>IF(ISNA(HLOOKUP("start",ESLData!C$1:C$9960,MATCH($A823,ESLData!$B$1:$B$9960,0))),"",HLOOKUP("start",ESLData!C$1:C$9960,MATCH($A823,ESLData!$B$1:$B$9960,0)))</f>
        <v>Contracted Staff - Curriculum</v>
      </c>
    </row>
    <row r="824" spans="1:11" ht="14.25" customHeight="1" x14ac:dyDescent="0.2">
      <c r="A824" s="144">
        <v>35201</v>
      </c>
      <c r="C824" s="143">
        <f>HLOOKUP("start",ESLData!E$1:E$9960,MATCH($A824,ESLData!$B$1:$B$9960,0))</f>
        <v>0</v>
      </c>
      <c r="E824" s="143">
        <f>HLOOKUP("start",ESLData!F$1:F$9960,MATCH($A824,ESLData!$B$1:$B$9960,0))</f>
        <v>0</v>
      </c>
      <c r="G824" s="143">
        <f>HLOOKUP("start",ESLData!H$1:H$9960,MATCH($A824,ESLData!$B$1:$B$9960,0))</f>
        <v>0</v>
      </c>
      <c r="J824" s="156" t="s">
        <v>987</v>
      </c>
      <c r="K824" s="142" t="str">
        <f>IF(ISNA(HLOOKUP("start",ESLData!C$1:C$9960,MATCH($A824,ESLData!$B$1:$B$9960,0))),"",HLOOKUP("start",ESLData!C$1:C$9960,MATCH($A824,ESLData!$B$1:$B$9960,0)))</f>
        <v>Relieving Teachers</v>
      </c>
    </row>
    <row r="825" spans="1:11" ht="14.25" customHeight="1" x14ac:dyDescent="0.2">
      <c r="A825" s="144">
        <v>35210</v>
      </c>
      <c r="C825" s="143">
        <f>HLOOKUP("start",ESLData!E$1:E$9960,MATCH($A825,ESLData!$B$1:$B$9960,0))</f>
        <v>0</v>
      </c>
      <c r="E825" s="143">
        <f>HLOOKUP("start",ESLData!F$1:F$9960,MATCH($A825,ESLData!$B$1:$B$9960,0))</f>
        <v>0</v>
      </c>
      <c r="G825" s="143">
        <f>HLOOKUP("start",ESLData!H$1:H$9960,MATCH($A825,ESLData!$B$1:$B$9960,0))</f>
        <v>0</v>
      </c>
      <c r="J825" s="156" t="s">
        <v>987</v>
      </c>
      <c r="K825" s="142" t="str">
        <f>IF(ISNA(HLOOKUP("start",ESLData!C$1:C$9960,MATCH($A825,ESLData!$B$1:$B$9960,0))),"",HLOOKUP("start",ESLData!C$1:C$9960,MATCH($A825,ESLData!$B$1:$B$9960,0)))</f>
        <v>ACC levies</v>
      </c>
    </row>
    <row r="826" spans="1:11" ht="14.25" customHeight="1" x14ac:dyDescent="0.2">
      <c r="A826" s="144">
        <v>35290</v>
      </c>
      <c r="C826" s="143">
        <f>HLOOKUP("start",ESLData!E$1:E$9960,MATCH($A826,ESLData!$B$1:$B$9960,0))</f>
        <v>0</v>
      </c>
      <c r="E826" s="143">
        <f>HLOOKUP("start",ESLData!F$1:F$9960,MATCH($A826,ESLData!$B$1:$B$9960,0))</f>
        <v>0</v>
      </c>
      <c r="G826" s="143">
        <f>HLOOKUP("start",ESLData!H$1:H$9960,MATCH($A826,ESLData!$B$1:$B$9960,0))</f>
        <v>0</v>
      </c>
      <c r="J826" s="156" t="s">
        <v>987</v>
      </c>
      <c r="K826" s="142" t="str">
        <f>IF(ISNA(HLOOKUP("start",ESLData!C$1:C$9960,MATCH($A826,ESLData!$B$1:$B$9960,0))),"",HLOOKUP("start",ESLData!C$1:C$9960,MATCH($A826,ESLData!$B$1:$B$9960,0)))</f>
        <v>Salaries  Ec</v>
      </c>
    </row>
    <row r="827" spans="1:11" ht="14.25" customHeight="1" x14ac:dyDescent="0.2">
      <c r="A827" s="144">
        <v>35291</v>
      </c>
      <c r="C827" s="143">
        <f>HLOOKUP("start",ESLData!E$1:E$9960,MATCH($A827,ESLData!$B$1:$B$9960,0))</f>
        <v>0</v>
      </c>
      <c r="E827" s="143">
        <f>HLOOKUP("start",ESLData!F$1:F$9960,MATCH($A827,ESLData!$B$1:$B$9960,0))</f>
        <v>0</v>
      </c>
      <c r="G827" s="143">
        <f>HLOOKUP("start",ESLData!H$1:H$9960,MATCH($A827,ESLData!$B$1:$B$9960,0))</f>
        <v>0</v>
      </c>
      <c r="J827" s="156" t="s">
        <v>987</v>
      </c>
      <c r="K827" s="142" t="str">
        <f>IF(ISNA(HLOOKUP("start",ESLData!C$1:C$9960,MATCH($A827,ESLData!$B$1:$B$9960,0))),"",HLOOKUP("start",ESLData!C$1:C$9960,MATCH($A827,ESLData!$B$1:$B$9960,0)))</f>
        <v>Relieving Teachers</v>
      </c>
    </row>
    <row r="828" spans="1:11" ht="14.25" customHeight="1" x14ac:dyDescent="0.2">
      <c r="A828" s="144">
        <v>35292</v>
      </c>
      <c r="C828" s="143">
        <f>HLOOKUP("start",ESLData!E$1:E$9960,MATCH($A828,ESLData!$B$1:$B$9960,0))</f>
        <v>0</v>
      </c>
      <c r="E828" s="143">
        <f>HLOOKUP("start",ESLData!F$1:F$9960,MATCH($A828,ESLData!$B$1:$B$9960,0))</f>
        <v>0</v>
      </c>
      <c r="G828" s="143">
        <f>HLOOKUP("start",ESLData!H$1:H$9960,MATCH($A828,ESLData!$B$1:$B$9960,0))</f>
        <v>0</v>
      </c>
      <c r="J828" s="156" t="s">
        <v>987</v>
      </c>
      <c r="K828" s="142" t="str">
        <f>IF(ISNA(HLOOKUP("start",ESLData!C$1:C$9960,MATCH($A828,ESLData!$B$1:$B$9960,0))),"",HLOOKUP("start",ESLData!C$1:C$9960,MATCH($A828,ESLData!$B$1:$B$9960,0)))</f>
        <v>Recruitment</v>
      </c>
    </row>
    <row r="829" spans="1:11" ht="14.25" customHeight="1" x14ac:dyDescent="0.2">
      <c r="A829" s="144">
        <v>35401</v>
      </c>
      <c r="C829" s="143">
        <f>HLOOKUP("start",ESLData!E$1:E$9960,MATCH($A829,ESLData!$B$1:$B$9960,0))</f>
        <v>0</v>
      </c>
      <c r="E829" s="143">
        <f>HLOOKUP("start",ESLData!F$1:F$9960,MATCH($A829,ESLData!$B$1:$B$9960,0))</f>
        <v>0</v>
      </c>
      <c r="G829" s="143">
        <f>HLOOKUP("start",ESLData!H$1:H$9960,MATCH($A829,ESLData!$B$1:$B$9960,0))</f>
        <v>0</v>
      </c>
      <c r="J829" s="156" t="s">
        <v>987</v>
      </c>
      <c r="K829" s="142" t="str">
        <f>IF(ISNA(HLOOKUP("start",ESLData!C$1:C$9960,MATCH($A829,ESLData!$B$1:$B$9960,0))),"",HLOOKUP("start",ESLData!C$1:C$9960,MATCH($A829,ESLData!$B$1:$B$9960,0)))</f>
        <v>Relieving Teachers</v>
      </c>
    </row>
    <row r="830" spans="1:11" ht="14.25" customHeight="1" x14ac:dyDescent="0.2">
      <c r="A830" s="144">
        <v>35702</v>
      </c>
      <c r="C830" s="143">
        <f>HLOOKUP("start",ESLData!E$1:E$9960,MATCH($A830,ESLData!$B$1:$B$9960,0))</f>
        <v>27.83</v>
      </c>
      <c r="E830" s="143">
        <f>HLOOKUP("start",ESLData!F$1:F$9960,MATCH($A830,ESLData!$B$1:$B$9960,0))</f>
        <v>0</v>
      </c>
      <c r="G830" s="143">
        <f>HLOOKUP("start",ESLData!H$1:H$9960,MATCH($A830,ESLData!$B$1:$B$9960,0))</f>
        <v>27.83</v>
      </c>
      <c r="J830" s="156" t="s">
        <v>987</v>
      </c>
      <c r="K830" s="142" t="str">
        <f>IF(ISNA(HLOOKUP("start",ESLData!C$1:C$9960,MATCH($A830,ESLData!$B$1:$B$9960,0))),"",HLOOKUP("start",ESLData!C$1:C$9960,MATCH($A830,ESLData!$B$1:$B$9960,0)))</f>
        <v>Relieving Teachers</v>
      </c>
    </row>
    <row r="831" spans="1:11" ht="14.25" customHeight="1" x14ac:dyDescent="0.2">
      <c r="A831" s="144">
        <v>38035</v>
      </c>
      <c r="C831" s="143">
        <f>HLOOKUP("start",ESLData!E$1:E$9960,MATCH($A831,ESLData!$B$1:$B$9960,0))</f>
        <v>0</v>
      </c>
      <c r="E831" s="143">
        <f>HLOOKUP("start",ESLData!F$1:F$9960,MATCH($A831,ESLData!$B$1:$B$9960,0))</f>
        <v>0</v>
      </c>
      <c r="G831" s="143">
        <f>HLOOKUP("start",ESLData!H$1:H$9960,MATCH($A831,ESLData!$B$1:$B$9960,0))</f>
        <v>0</v>
      </c>
      <c r="J831" s="156" t="s">
        <v>987</v>
      </c>
      <c r="K831" s="142" t="str">
        <f>IF(ISNA(HLOOKUP("start",ESLData!C$1:C$9960,MATCH($A831,ESLData!$B$1:$B$9960,0))),"",HLOOKUP("start",ESLData!C$1:C$9960,MATCH($A831,ESLData!$B$1:$B$9960,0)))</f>
        <v>Relieving Teachers</v>
      </c>
    </row>
    <row r="832" spans="1:11" ht="14.25" customHeight="1" x14ac:dyDescent="0.2">
      <c r="A832" s="144">
        <v>39085</v>
      </c>
      <c r="C832" s="143">
        <f>HLOOKUP("start",ESLData!E$1:E$9960,MATCH($A832,ESLData!$B$1:$B$9960,0))</f>
        <v>0</v>
      </c>
      <c r="E832" s="143">
        <f>HLOOKUP("start",ESLData!F$1:F$9960,MATCH($A832,ESLData!$B$1:$B$9960,0))</f>
        <v>0</v>
      </c>
      <c r="G832" s="143">
        <f>HLOOKUP("start",ESLData!H$1:H$9960,MATCH($A832,ESLData!$B$1:$B$9960,0))</f>
        <v>0</v>
      </c>
      <c r="J832" s="156" t="s">
        <v>987</v>
      </c>
      <c r="K832" s="142" t="str">
        <f>IF(ISNA(HLOOKUP("start",ESLData!C$1:C$9960,MATCH($A832,ESLData!$B$1:$B$9960,0))),"",HLOOKUP("start",ESLData!C$1:C$9960,MATCH($A832,ESLData!$B$1:$B$9960,0)))</f>
        <v>Relieving Teachers</v>
      </c>
    </row>
    <row r="833" spans="1:11" ht="14.25" customHeight="1" x14ac:dyDescent="0.2">
      <c r="A833" s="144">
        <v>39086</v>
      </c>
      <c r="C833" s="143">
        <f>HLOOKUP("start",ESLData!E$1:E$9960,MATCH($A833,ESLData!$B$1:$B$9960,0))</f>
        <v>0</v>
      </c>
      <c r="E833" s="143">
        <f>HLOOKUP("start",ESLData!F$1:F$9960,MATCH($A833,ESLData!$B$1:$B$9960,0))</f>
        <v>0</v>
      </c>
      <c r="G833" s="143">
        <f>HLOOKUP("start",ESLData!H$1:H$9960,MATCH($A833,ESLData!$B$1:$B$9960,0))</f>
        <v>0</v>
      </c>
      <c r="J833" s="156" t="s">
        <v>987</v>
      </c>
      <c r="K833" s="142" t="str">
        <f>IF(ISNA(HLOOKUP("start",ESLData!C$1:C$9960,MATCH($A833,ESLData!$B$1:$B$9960,0))),"",HLOOKUP("start",ESLData!C$1:C$9960,MATCH($A833,ESLData!$B$1:$B$9960,0)))</f>
        <v>Staff funded from 2009 Surplus</v>
      </c>
    </row>
    <row r="834" spans="1:11" ht="14.25" customHeight="1" x14ac:dyDescent="0.2">
      <c r="A834" s="144">
        <v>39135</v>
      </c>
      <c r="C834" s="143">
        <f>HLOOKUP("start",ESLData!E$1:E$9960,MATCH($A834,ESLData!$B$1:$B$9960,0))</f>
        <v>0</v>
      </c>
      <c r="E834" s="143">
        <f>HLOOKUP("start",ESLData!F$1:F$9960,MATCH($A834,ESLData!$B$1:$B$9960,0))</f>
        <v>0</v>
      </c>
      <c r="G834" s="143">
        <f>HLOOKUP("start",ESLData!H$1:H$9960,MATCH($A834,ESLData!$B$1:$B$9960,0))</f>
        <v>0</v>
      </c>
      <c r="J834" s="156" t="s">
        <v>987</v>
      </c>
      <c r="K834" s="142" t="str">
        <f>IF(ISNA(HLOOKUP("start",ESLData!C$1:C$9960,MATCH($A834,ESLData!$B$1:$B$9960,0))),"",HLOOKUP("start",ESLData!C$1:C$9960,MATCH($A834,ESLData!$B$1:$B$9960,0)))</f>
        <v>Relieving Teachers</v>
      </c>
    </row>
    <row r="835" spans="1:11" ht="14.25" customHeight="1" x14ac:dyDescent="0.2">
      <c r="A835" s="144">
        <v>39185</v>
      </c>
      <c r="C835" s="143">
        <f>HLOOKUP("start",ESLData!E$1:E$9960,MATCH($A835,ESLData!$B$1:$B$9960,0))</f>
        <v>0</v>
      </c>
      <c r="E835" s="143">
        <f>HLOOKUP("start",ESLData!F$1:F$9960,MATCH($A835,ESLData!$B$1:$B$9960,0))</f>
        <v>0</v>
      </c>
      <c r="G835" s="143">
        <f>HLOOKUP("start",ESLData!H$1:H$9960,MATCH($A835,ESLData!$B$1:$B$9960,0))</f>
        <v>0</v>
      </c>
      <c r="J835" s="156" t="s">
        <v>987</v>
      </c>
      <c r="K835" s="142" t="str">
        <f>IF(ISNA(HLOOKUP("start",ESLData!C$1:C$9960,MATCH($A835,ESLData!$B$1:$B$9960,0))),"",HLOOKUP("start",ESLData!C$1:C$9960,MATCH($A835,ESLData!$B$1:$B$9960,0)))</f>
        <v>Relieving Teachers</v>
      </c>
    </row>
    <row r="836" spans="1:11" ht="14.25" customHeight="1" x14ac:dyDescent="0.2">
      <c r="A836" s="144">
        <v>39235</v>
      </c>
      <c r="C836" s="143">
        <f>HLOOKUP("start",ESLData!E$1:E$9960,MATCH($A836,ESLData!$B$1:$B$9960,0))</f>
        <v>0</v>
      </c>
      <c r="E836" s="143">
        <f>HLOOKUP("start",ESLData!F$1:F$9960,MATCH($A836,ESLData!$B$1:$B$9960,0))</f>
        <v>0</v>
      </c>
      <c r="G836" s="143">
        <f>HLOOKUP("start",ESLData!H$1:H$9960,MATCH($A836,ESLData!$B$1:$B$9960,0))</f>
        <v>0</v>
      </c>
      <c r="J836" s="156" t="s">
        <v>987</v>
      </c>
      <c r="K836" s="142" t="str">
        <f>IF(ISNA(HLOOKUP("start",ESLData!C$1:C$9960,MATCH($A836,ESLData!$B$1:$B$9960,0))),"",HLOOKUP("start",ESLData!C$1:C$9960,MATCH($A836,ESLData!$B$1:$B$9960,0)))</f>
        <v>Relieving Teachers</v>
      </c>
    </row>
    <row r="837" spans="1:11" ht="14.25" customHeight="1" x14ac:dyDescent="0.2">
      <c r="A837" s="144">
        <v>39285</v>
      </c>
      <c r="C837" s="143">
        <f>HLOOKUP("start",ESLData!E$1:E$9960,MATCH($A837,ESLData!$B$1:$B$9960,0))</f>
        <v>0</v>
      </c>
      <c r="E837" s="143">
        <f>HLOOKUP("start",ESLData!F$1:F$9960,MATCH($A837,ESLData!$B$1:$B$9960,0))</f>
        <v>0</v>
      </c>
      <c r="G837" s="143">
        <f>HLOOKUP("start",ESLData!H$1:H$9960,MATCH($A837,ESLData!$B$1:$B$9960,0))</f>
        <v>0</v>
      </c>
      <c r="J837" s="156" t="s">
        <v>987</v>
      </c>
      <c r="K837" s="142" t="str">
        <f>IF(ISNA(HLOOKUP("start",ESLData!C$1:C$9960,MATCH($A837,ESLData!$B$1:$B$9960,0))),"",HLOOKUP("start",ESLData!C$1:C$9960,MATCH($A837,ESLData!$B$1:$B$9960,0)))</f>
        <v>Relieving Teachers</v>
      </c>
    </row>
    <row r="838" spans="1:11" ht="14.25" customHeight="1" x14ac:dyDescent="0.2">
      <c r="A838" s="144">
        <v>39335</v>
      </c>
      <c r="C838" s="143">
        <f>HLOOKUP("start",ESLData!E$1:E$9960,MATCH($A838,ESLData!$B$1:$B$9960,0))</f>
        <v>0</v>
      </c>
      <c r="E838" s="143">
        <f>HLOOKUP("start",ESLData!F$1:F$9960,MATCH($A838,ESLData!$B$1:$B$9960,0))</f>
        <v>0</v>
      </c>
      <c r="G838" s="143">
        <f>HLOOKUP("start",ESLData!H$1:H$9960,MATCH($A838,ESLData!$B$1:$B$9960,0))</f>
        <v>0</v>
      </c>
      <c r="J838" s="156" t="s">
        <v>987</v>
      </c>
      <c r="K838" s="142" t="str">
        <f>IF(ISNA(HLOOKUP("start",ESLData!C$1:C$9960,MATCH($A838,ESLData!$B$1:$B$9960,0))),"",HLOOKUP("start",ESLData!C$1:C$9960,MATCH($A838,ESLData!$B$1:$B$9960,0)))</f>
        <v>Relieving Teachers</v>
      </c>
    </row>
    <row r="839" spans="1:11" ht="14.25" customHeight="1" x14ac:dyDescent="0.2">
      <c r="A839" s="144">
        <v>39336</v>
      </c>
      <c r="C839" s="143">
        <f>HLOOKUP("start",ESLData!E$1:E$9960,MATCH($A839,ESLData!$B$1:$B$9960,0))</f>
        <v>0</v>
      </c>
      <c r="E839" s="143">
        <f>HLOOKUP("start",ESLData!F$1:F$9960,MATCH($A839,ESLData!$B$1:$B$9960,0))</f>
        <v>0</v>
      </c>
      <c r="G839" s="143">
        <f>HLOOKUP("start",ESLData!H$1:H$9960,MATCH($A839,ESLData!$B$1:$B$9960,0))</f>
        <v>0</v>
      </c>
      <c r="J839" s="156" t="s">
        <v>987</v>
      </c>
      <c r="K839" s="142" t="str">
        <f>IF(ISNA(HLOOKUP("start",ESLData!C$1:C$9960,MATCH($A839,ESLData!$B$1:$B$9960,0))),"",HLOOKUP("start",ESLData!C$1:C$9960,MATCH($A839,ESLData!$B$1:$B$9960,0)))</f>
        <v>0.2 FTE teacher Time</v>
      </c>
    </row>
    <row r="840" spans="1:11" ht="14.25" customHeight="1" x14ac:dyDescent="0.2">
      <c r="A840" s="144">
        <v>39337</v>
      </c>
      <c r="C840" s="143">
        <f>HLOOKUP("start",ESLData!E$1:E$9960,MATCH($A840,ESLData!$B$1:$B$9960,0))</f>
        <v>0</v>
      </c>
      <c r="E840" s="143">
        <f>HLOOKUP("start",ESLData!F$1:F$9960,MATCH($A840,ESLData!$B$1:$B$9960,0))</f>
        <v>0</v>
      </c>
      <c r="G840" s="143">
        <f>HLOOKUP("start",ESLData!H$1:H$9960,MATCH($A840,ESLData!$B$1:$B$9960,0))</f>
        <v>225</v>
      </c>
      <c r="J840" s="156" t="s">
        <v>987</v>
      </c>
      <c r="K840" s="142" t="str">
        <f>IF(ISNA(HLOOKUP("start",ESLData!C$1:C$9960,MATCH($A840,ESLData!$B$1:$B$9960,0))),"",HLOOKUP("start",ESLData!C$1:C$9960,MATCH($A840,ESLData!$B$1:$B$9960,0)))</f>
        <v>Staff Recruitment-Tauranga</v>
      </c>
    </row>
    <row r="841" spans="1:11" ht="14.25" customHeight="1" x14ac:dyDescent="0.2">
      <c r="A841" s="144">
        <v>39385</v>
      </c>
      <c r="C841" s="143">
        <f>HLOOKUP("start",ESLData!E$1:E$9960,MATCH($A841,ESLData!$B$1:$B$9960,0))</f>
        <v>0</v>
      </c>
      <c r="E841" s="143">
        <f>HLOOKUP("start",ESLData!F$1:F$9960,MATCH($A841,ESLData!$B$1:$B$9960,0))</f>
        <v>0</v>
      </c>
      <c r="G841" s="143">
        <f>HLOOKUP("start",ESLData!H$1:H$9960,MATCH($A841,ESLData!$B$1:$B$9960,0))</f>
        <v>0</v>
      </c>
      <c r="J841" s="156" t="s">
        <v>987</v>
      </c>
      <c r="K841" s="142" t="str">
        <f>IF(ISNA(HLOOKUP("start",ESLData!C$1:C$9960,MATCH($A841,ESLData!$B$1:$B$9960,0))),"",HLOOKUP("start",ESLData!C$1:C$9960,MATCH($A841,ESLData!$B$1:$B$9960,0)))</f>
        <v>Relieving Teachers</v>
      </c>
    </row>
    <row r="842" spans="1:11" ht="14.25" customHeight="1" x14ac:dyDescent="0.2">
      <c r="A842" s="144">
        <v>39386</v>
      </c>
      <c r="C842" s="143">
        <f>HLOOKUP("start",ESLData!E$1:E$9960,MATCH($A842,ESLData!$B$1:$B$9960,0))</f>
        <v>0</v>
      </c>
      <c r="E842" s="143">
        <f>HLOOKUP("start",ESLData!F$1:F$9960,MATCH($A842,ESLData!$B$1:$B$9960,0))</f>
        <v>0</v>
      </c>
      <c r="G842" s="143">
        <f>HLOOKUP("start",ESLData!H$1:H$9960,MATCH($A842,ESLData!$B$1:$B$9960,0))</f>
        <v>0</v>
      </c>
      <c r="I842" s="146"/>
      <c r="J842" s="156" t="s">
        <v>987</v>
      </c>
      <c r="K842" s="142" t="str">
        <f>IF(ISNA(HLOOKUP("start",ESLData!C$1:C$9960,MATCH($A842,ESLData!$B$1:$B$9960,0))),"",HLOOKUP("start",ESLData!C$1:C$9960,MATCH($A842,ESLData!$B$1:$B$9960,0)))</f>
        <v>Recruitment</v>
      </c>
    </row>
    <row r="843" spans="1:11" ht="14.25" customHeight="1" x14ac:dyDescent="0.2">
      <c r="A843" s="144">
        <v>39525</v>
      </c>
      <c r="C843" s="143">
        <f>HLOOKUP("start",ESLData!E$1:E$9960,MATCH($A843,ESLData!$B$1:$B$9960,0))</f>
        <v>0</v>
      </c>
      <c r="D843" s="148"/>
      <c r="E843" s="143">
        <f>HLOOKUP("start",ESLData!F$1:F$9960,MATCH($A843,ESLData!$B$1:$B$9960,0))</f>
        <v>0</v>
      </c>
      <c r="F843" s="148"/>
      <c r="G843" s="143">
        <f>HLOOKUP("start",ESLData!H$1:H$9960,MATCH($A843,ESLData!$B$1:$B$9960,0))</f>
        <v>0</v>
      </c>
      <c r="H843" s="148"/>
      <c r="J843" s="156" t="s">
        <v>987</v>
      </c>
      <c r="K843" s="142" t="str">
        <f>IF(ISNA(HLOOKUP("start",ESLData!C$1:C$9960,MATCH($A843,ESLData!$B$1:$B$9960,0))),"",HLOOKUP("start",ESLData!C$1:C$9960,MATCH($A843,ESLData!$B$1:$B$9960,0)))</f>
        <v>Relieving Teachers</v>
      </c>
    </row>
    <row r="844" spans="1:11" ht="14.25" customHeight="1" x14ac:dyDescent="0.2">
      <c r="A844" s="144">
        <v>35296</v>
      </c>
      <c r="C844" s="143">
        <f>HLOOKUP("start",ESLData!E$1:E$9960,MATCH($A844,ESLData!$B$1:$B$9960,0))</f>
        <v>0</v>
      </c>
      <c r="E844" s="143">
        <f>HLOOKUP("start",ESLData!F$1:F$9960,MATCH($A844,ESLData!$B$1:$B$9960,0))</f>
        <v>0</v>
      </c>
      <c r="G844" s="143">
        <f>HLOOKUP("start",ESLData!H$1:H$9960,MATCH($A844,ESLData!$B$1:$B$9960,0))</f>
        <v>0</v>
      </c>
      <c r="J844" s="156" t="s">
        <v>987</v>
      </c>
      <c r="K844" s="142" t="str">
        <f>IF(ISNA(HLOOKUP("start",ESLData!C$1:C$9960,MATCH($A844,ESLData!$B$1:$B$9960,0))),"",HLOOKUP("start",ESLData!C$1:C$9960,MATCH($A844,ESLData!$B$1:$B$9960,0)))</f>
        <v>Staff Travel/Accommodation</v>
      </c>
    </row>
    <row r="845" spans="1:11" ht="14.25" customHeight="1" x14ac:dyDescent="0.2">
      <c r="A845" s="144">
        <v>35298</v>
      </c>
      <c r="C845" s="143">
        <f>HLOOKUP("start",ESLData!E$1:E$9960,MATCH($A845,ESLData!$B$1:$B$9960,0))</f>
        <v>0</v>
      </c>
      <c r="E845" s="143">
        <f>HLOOKUP("start",ESLData!F$1:F$9960,MATCH($A845,ESLData!$B$1:$B$9960,0))</f>
        <v>0</v>
      </c>
      <c r="G845" s="143">
        <f>HLOOKUP("start",ESLData!H$1:H$9960,MATCH($A845,ESLData!$B$1:$B$9960,0))</f>
        <v>0</v>
      </c>
      <c r="J845" s="156" t="s">
        <v>987</v>
      </c>
      <c r="K845" s="142" t="str">
        <f>IF(ISNA(HLOOKUP("start",ESLData!C$1:C$9960,MATCH($A845,ESLData!$B$1:$B$9960,0))),"",HLOOKUP("start",ESLData!C$1:C$9960,MATCH($A845,ESLData!$B$1:$B$9960,0)))</f>
        <v>Petrol</v>
      </c>
    </row>
    <row r="846" spans="1:11" ht="14.25" customHeight="1" x14ac:dyDescent="0.2">
      <c r="A846" s="144">
        <v>35870</v>
      </c>
      <c r="C846" s="143">
        <f>HLOOKUP("start",ESLData!E$1:E$9960,MATCH($A846,ESLData!$B$1:$B$9960,0))</f>
        <v>0</v>
      </c>
      <c r="E846" s="143">
        <f>HLOOKUP("start",ESLData!F$1:F$9960,MATCH($A846,ESLData!$B$1:$B$9960,0))</f>
        <v>0</v>
      </c>
      <c r="G846" s="143">
        <f>HLOOKUP("start",ESLData!H$1:H$9960,MATCH($A846,ESLData!$B$1:$B$9960,0))</f>
        <v>0</v>
      </c>
      <c r="J846" s="156" t="s">
        <v>987</v>
      </c>
      <c r="K846" s="142" t="str">
        <f>IF(ISNA(HLOOKUP("start",ESLData!C$1:C$9960,MATCH($A846,ESLData!$B$1:$B$9960,0))),"",HLOOKUP("start",ESLData!C$1:C$9960,MATCH($A846,ESLData!$B$1:$B$9960,0)))</f>
        <v>Workshop Expenses</v>
      </c>
    </row>
    <row r="847" spans="1:11" ht="14.25" customHeight="1" x14ac:dyDescent="0.2">
      <c r="A847" s="144">
        <v>60230</v>
      </c>
      <c r="C847" s="143">
        <f>HLOOKUP("start",ESLData!E$1:E$9960,MATCH($A847,ESLData!$B$1:$B$9960,0))</f>
        <v>0</v>
      </c>
      <c r="E847" s="143">
        <f>HLOOKUP("start",ESLData!F$1:F$9960,MATCH($A847,ESLData!$B$1:$B$9960,0))</f>
        <v>0</v>
      </c>
      <c r="G847" s="143">
        <f>HLOOKUP("start",ESLData!H$1:H$9960,MATCH($A847,ESLData!$B$1:$B$9960,0))</f>
        <v>0</v>
      </c>
      <c r="J847" s="156" t="s">
        <v>987</v>
      </c>
      <c r="K847" s="142" t="str">
        <f>IF(ISNA(HLOOKUP("start",ESLData!C$1:C$9960,MATCH($A847,ESLData!$B$1:$B$9960,0))),"",HLOOKUP("start",ESLData!C$1:C$9960,MATCH($A847,ESLData!$B$1:$B$9960,0)))</f>
        <v>Staffing: Admin Regional Specialist</v>
      </c>
    </row>
    <row r="848" spans="1:11" ht="14.25" customHeight="1" x14ac:dyDescent="0.2">
      <c r="A848" s="144">
        <v>60100</v>
      </c>
      <c r="C848" s="143">
        <f>HLOOKUP("start",ESLData!E$1:E$9960,MATCH($A848,ESLData!$B$1:$B$9960,0))</f>
        <v>0</v>
      </c>
      <c r="D848" s="162">
        <f>ROUND(SUM(C821:C848),0)</f>
        <v>-2</v>
      </c>
      <c r="E848" s="143">
        <f>HLOOKUP("start",ESLData!F$1:F$9960,MATCH($A848,ESLData!$B$1:$B$9960,0))</f>
        <v>0</v>
      </c>
      <c r="F848" s="155">
        <f>ROUND(SUM(E821:E848),0)</f>
        <v>0</v>
      </c>
      <c r="G848" s="143">
        <f>HLOOKUP("start",ESLData!H$1:H$9960,MATCH($A848,ESLData!$B$1:$B$9960,0))</f>
        <v>0</v>
      </c>
      <c r="H848" s="162">
        <f>ROUND(SUM(G821:G848),0)</f>
        <v>4833</v>
      </c>
      <c r="J848" s="156" t="s">
        <v>987</v>
      </c>
      <c r="K848" s="142" t="str">
        <f>IF(ISNA(HLOOKUP("start",ESLData!C$1:C$9960,MATCH($A848,ESLData!$B$1:$B$9960,0))),"",HLOOKUP("start",ESLData!C$1:C$9960,MATCH($A848,ESLData!$B$1:$B$9960,0)))</f>
        <v>Contractors: O&amp;M</v>
      </c>
    </row>
    <row r="849" spans="1:11" ht="14.25" customHeight="1" x14ac:dyDescent="0.2">
      <c r="A849" s="147" t="s">
        <v>675</v>
      </c>
      <c r="C849" s="143"/>
      <c r="E849" s="143"/>
      <c r="G849" s="143"/>
      <c r="J849" s="156" t="s">
        <v>987</v>
      </c>
      <c r="K849" s="142" t="str">
        <f>IF(ISNA(HLOOKUP("start",ESLData!C$1:C$9960,MATCH($A849,ESLData!$B$1:$B$9960,0))),"",HLOOKUP("start",ESLData!C$1:C$9960,MATCH($A849,ESLData!$B$1:$B$9960,0)))</f>
        <v/>
      </c>
    </row>
    <row r="850" spans="1:11" ht="14.25" customHeight="1" x14ac:dyDescent="0.2">
      <c r="A850" s="144">
        <v>35190</v>
      </c>
      <c r="C850" s="143">
        <f>HLOOKUP("start",ESLData!E$1:E$9960,MATCH($A850,ESLData!$B$1:$B$9960,0))</f>
        <v>0</v>
      </c>
      <c r="E850" s="143">
        <f>HLOOKUP("start",ESLData!F$1:F$9960,MATCH($A850,ESLData!$B$1:$B$9960,0))</f>
        <v>0</v>
      </c>
      <c r="G850" s="143">
        <f>HLOOKUP("start",ESLData!H$1:H$9960,MATCH($A850,ESLData!$B$1:$B$9960,0))</f>
        <v>0</v>
      </c>
      <c r="J850" s="156" t="s">
        <v>987</v>
      </c>
      <c r="K850" s="142" t="str">
        <f>IF(ISNA(HLOOKUP("start",ESLData!C$1:C$9960,MATCH($A850,ESLData!$B$1:$B$9960,0))),"",HLOOKUP("start",ESLData!C$1:C$9960,MATCH($A850,ESLData!$B$1:$B$9960,0)))</f>
        <v>Mgmt Mtgs (Lower Nth Island)</v>
      </c>
    </row>
    <row r="851" spans="1:11" ht="14.25" customHeight="1" x14ac:dyDescent="0.2">
      <c r="A851" s="144">
        <v>35192</v>
      </c>
      <c r="C851" s="143">
        <f>HLOOKUP("start",ESLData!E$1:E$9960,MATCH($A851,ESLData!$B$1:$B$9960,0))</f>
        <v>0</v>
      </c>
      <c r="E851" s="143">
        <f>HLOOKUP("start",ESLData!F$1:F$9960,MATCH($A851,ESLData!$B$1:$B$9960,0))</f>
        <v>0</v>
      </c>
      <c r="G851" s="143">
        <f>HLOOKUP("start",ESLData!H$1:H$9960,MATCH($A851,ESLData!$B$1:$B$9960,0))</f>
        <v>0</v>
      </c>
      <c r="J851" s="156" t="s">
        <v>987</v>
      </c>
      <c r="K851" s="142" t="str">
        <f>IF(ISNA(HLOOKUP("start",ESLData!C$1:C$9960,MATCH($A851,ESLData!$B$1:$B$9960,0))),"",HLOOKUP("start",ESLData!C$1:C$9960,MATCH($A851,ESLData!$B$1:$B$9960,0)))</f>
        <v>Mgmt Mtgs (South Island)</v>
      </c>
    </row>
    <row r="852" spans="1:11" ht="14.25" customHeight="1" x14ac:dyDescent="0.2">
      <c r="A852" s="144">
        <v>35195</v>
      </c>
      <c r="C852" s="143">
        <f>HLOOKUP("start",ESLData!E$1:E$9960,MATCH($A852,ESLData!$B$1:$B$9960,0))</f>
        <v>19477.88</v>
      </c>
      <c r="E852" s="143">
        <f>HLOOKUP("start",ESLData!F$1:F$9960,MATCH($A852,ESLData!$B$1:$B$9960,0))</f>
        <v>0</v>
      </c>
      <c r="G852" s="143">
        <f>HLOOKUP("start",ESLData!H$1:H$9960,MATCH($A852,ESLData!$B$1:$B$9960,0))</f>
        <v>0</v>
      </c>
      <c r="J852" s="156" t="s">
        <v>987</v>
      </c>
      <c r="K852" s="142" t="str">
        <f>IF(ISNA(HLOOKUP("start",ESLData!C$1:C$9960,MATCH($A852,ESLData!$B$1:$B$9960,0))),"",HLOOKUP("start",ESLData!C$1:C$9960,MATCH($A852,ESLData!$B$1:$B$9960,0)))</f>
        <v>Mgmt Mtgs (Upper Nth Island)</v>
      </c>
    </row>
    <row r="853" spans="1:11" ht="14.25" customHeight="1" x14ac:dyDescent="0.2">
      <c r="A853" s="144">
        <v>35157</v>
      </c>
      <c r="C853" s="143">
        <f>HLOOKUP("start",ESLData!E$1:E$9960,MATCH($A853,ESLData!$B$1:$B$9960,0))</f>
        <v>150.38999999999999</v>
      </c>
      <c r="E853" s="143">
        <f>HLOOKUP("start",ESLData!F$1:F$9960,MATCH($A853,ESLData!$B$1:$B$9960,0))</f>
        <v>200</v>
      </c>
      <c r="G853" s="143">
        <f>HLOOKUP("start",ESLData!H$1:H$9960,MATCH($A853,ESLData!$B$1:$B$9960,0))</f>
        <v>167.17</v>
      </c>
      <c r="J853" s="156" t="s">
        <v>987</v>
      </c>
      <c r="K853" s="142" t="str">
        <f>IF(ISNA(HLOOKUP("start",ESLData!C$1:C$9960,MATCH($A853,ESLData!$B$1:$B$9960,0))),"",HLOOKUP("start",ESLData!C$1:C$9960,MATCH($A853,ESLData!$B$1:$B$9960,0)))</f>
        <v>Auckland North - DOM Expenses</v>
      </c>
    </row>
    <row r="854" spans="1:11" ht="14.25" customHeight="1" x14ac:dyDescent="0.2">
      <c r="A854" s="144">
        <v>35295</v>
      </c>
      <c r="C854" s="143">
        <f>HLOOKUP("start",ESLData!E$1:E$9960,MATCH($A854,ESLData!$B$1:$B$9960,0))</f>
        <v>0</v>
      </c>
      <c r="E854" s="143">
        <f>HLOOKUP("start",ESLData!F$1:F$9960,MATCH($A854,ESLData!$B$1:$B$9960,0))</f>
        <v>0</v>
      </c>
      <c r="G854" s="143">
        <f>HLOOKUP("start",ESLData!H$1:H$9960,MATCH($A854,ESLData!$B$1:$B$9960,0))</f>
        <v>0</v>
      </c>
      <c r="J854" s="156" t="s">
        <v>987</v>
      </c>
      <c r="K854" s="142" t="str">
        <f>IF(ISNA(HLOOKUP("start",ESLData!C$1:C$9960,MATCH($A854,ESLData!$B$1:$B$9960,0))),"",HLOOKUP("start",ESLData!C$1:C$9960,MATCH($A854,ESLData!$B$1:$B$9960,0)))</f>
        <v>Staff Training/Conferences</v>
      </c>
    </row>
    <row r="855" spans="1:11" ht="14.25" customHeight="1" x14ac:dyDescent="0.2">
      <c r="A855" s="144">
        <v>39020</v>
      </c>
      <c r="C855" s="143">
        <f>HLOOKUP("start",ESLData!E$1:E$9960,MATCH($A855,ESLData!$B$1:$B$9960,0))</f>
        <v>15.22</v>
      </c>
      <c r="E855" s="143">
        <f>HLOOKUP("start",ESLData!F$1:F$9960,MATCH($A855,ESLData!$B$1:$B$9960,0))</f>
        <v>200</v>
      </c>
      <c r="G855" s="143">
        <f>HLOOKUP("start",ESLData!H$1:H$9960,MATCH($A855,ESLData!$B$1:$B$9960,0))</f>
        <v>86.28</v>
      </c>
      <c r="J855" s="156" t="s">
        <v>987</v>
      </c>
      <c r="K855" s="142" t="str">
        <f>IF(ISNA(HLOOKUP("start",ESLData!C$1:C$9960,MATCH($A855,ESLData!$B$1:$B$9960,0))),"",HLOOKUP("start",ESLData!C$1:C$9960,MATCH($A855,ESLData!$B$1:$B$9960,0)))</f>
        <v>Hamilton DOM Expenses</v>
      </c>
    </row>
    <row r="856" spans="1:11" ht="14.25" customHeight="1" x14ac:dyDescent="0.2">
      <c r="A856" s="144">
        <v>60850</v>
      </c>
      <c r="C856" s="143">
        <f>HLOOKUP("start",ESLData!E$1:E$9960,MATCH($A856,ESLData!$B$1:$B$9960,0))</f>
        <v>0</v>
      </c>
      <c r="E856" s="143">
        <f>HLOOKUP("start",ESLData!F$1:F$9960,MATCH($A856,ESLData!$B$1:$B$9960,0))</f>
        <v>0</v>
      </c>
      <c r="G856" s="143">
        <f>HLOOKUP("start",ESLData!H$1:H$9960,MATCH($A856,ESLData!$B$1:$B$9960,0))</f>
        <v>0</v>
      </c>
      <c r="J856" s="156" t="s">
        <v>987</v>
      </c>
      <c r="K856" s="142" t="str">
        <f>IF(ISNA(HLOOKUP("start",ESLData!C$1:C$9960,MATCH($A856,ESLData!$B$1:$B$9960,0))),"",HLOOKUP("start",ESLData!C$1:C$9960,MATCH($A856,ESLData!$B$1:$B$9960,0)))</f>
        <v>Paraprofessional Pd</v>
      </c>
    </row>
    <row r="857" spans="1:11" ht="14.25" customHeight="1" x14ac:dyDescent="0.2">
      <c r="A857" s="144">
        <v>60851</v>
      </c>
      <c r="C857" s="143">
        <f>HLOOKUP("start",ESLData!E$1:E$9960,MATCH($A857,ESLData!$B$1:$B$9960,0))</f>
        <v>0</v>
      </c>
      <c r="E857" s="143">
        <f>HLOOKUP("start",ESLData!F$1:F$9960,MATCH($A857,ESLData!$B$1:$B$9960,0))</f>
        <v>0</v>
      </c>
      <c r="G857" s="143">
        <f>HLOOKUP("start",ESLData!H$1:H$9960,MATCH($A857,ESLData!$B$1:$B$9960,0))</f>
        <v>0</v>
      </c>
      <c r="J857" s="156" t="s">
        <v>987</v>
      </c>
      <c r="K857" s="142" t="str">
        <f>IF(ISNA(HLOOKUP("start",ESLData!C$1:C$9960,MATCH($A857,ESLData!$B$1:$B$9960,0))),"",HLOOKUP("start",ESLData!C$1:C$9960,MATCH($A857,ESLData!$B$1:$B$9960,0)))</f>
        <v>Parent PD</v>
      </c>
    </row>
    <row r="858" spans="1:11" ht="14.25" customHeight="1" x14ac:dyDescent="0.2">
      <c r="A858" s="144">
        <v>60855</v>
      </c>
      <c r="C858" s="143">
        <f>HLOOKUP("start",ESLData!E$1:E$9960,MATCH($A858,ESLData!$B$1:$B$9960,0))</f>
        <v>0</v>
      </c>
      <c r="E858" s="143">
        <f>HLOOKUP("start",ESLData!F$1:F$9960,MATCH($A858,ESLData!$B$1:$B$9960,0))</f>
        <v>0</v>
      </c>
      <c r="G858" s="143">
        <f>HLOOKUP("start",ESLData!H$1:H$9960,MATCH($A858,ESLData!$B$1:$B$9960,0))</f>
        <v>0</v>
      </c>
      <c r="J858" s="156" t="s">
        <v>987</v>
      </c>
      <c r="K858" s="142" t="str">
        <f>IF(ISNA(HLOOKUP("start",ESLData!C$1:C$9960,MATCH($A858,ESLData!$B$1:$B$9960,0))),"",HLOOKUP("start",ESLData!C$1:C$9960,MATCH($A858,ESLData!$B$1:$B$9960,0)))</f>
        <v>Blennz Wide Pd</v>
      </c>
    </row>
    <row r="859" spans="1:11" s="150" customFormat="1" ht="14.25" customHeight="1" x14ac:dyDescent="0.2">
      <c r="A859" s="144">
        <v>34500</v>
      </c>
      <c r="B859" s="142"/>
      <c r="C859" s="143">
        <f>HLOOKUP("start",ESLData!E$1:E$9960,MATCH($A859,ESLData!$B$1:$B$9960,0))</f>
        <v>0</v>
      </c>
      <c r="D859" s="148"/>
      <c r="E859" s="143">
        <f>HLOOKUP("start",ESLData!F$1:F$9960,MATCH($A859,ESLData!$B$1:$B$9960,0))</f>
        <v>0</v>
      </c>
      <c r="F859" s="148"/>
      <c r="G859" s="143">
        <f>HLOOKUP("start",ESLData!H$1:H$9960,MATCH($A859,ESLData!$B$1:$B$9960,0))</f>
        <v>0</v>
      </c>
      <c r="H859" s="148"/>
      <c r="K859" s="142" t="str">
        <f>IF(ISNA(HLOOKUP("start",ESLData!C$1:C$9960,MATCH($A859,ESLData!$B$1:$B$9960,0))),"",HLOOKUP("start",ESLData!C$1:C$9960,MATCH($A859,ESLData!$B$1:$B$9960,0)))</f>
        <v>Kapo Maori Research Project</v>
      </c>
    </row>
    <row r="860" spans="1:11" ht="14.25" customHeight="1" x14ac:dyDescent="0.2">
      <c r="A860" s="144">
        <v>35197</v>
      </c>
      <c r="C860" s="143">
        <f>HLOOKUP("start",ESLData!E$1:E$9960,MATCH($A860,ESLData!$B$1:$B$9960,0))</f>
        <v>0</v>
      </c>
      <c r="E860" s="143">
        <f>HLOOKUP("start",ESLData!F$1:F$9960,MATCH($A860,ESLData!$B$1:$B$9960,0))</f>
        <v>0</v>
      </c>
      <c r="G860" s="143">
        <f>HLOOKUP("start",ESLData!H$1:H$9960,MATCH($A860,ESLData!$B$1:$B$9960,0))</f>
        <v>6690</v>
      </c>
      <c r="J860" s="156" t="s">
        <v>987</v>
      </c>
      <c r="K860" s="142" t="str">
        <f>IF(ISNA(HLOOKUP("start",ESLData!C$1:C$9960,MATCH($A860,ESLData!$B$1:$B$9960,0))),"",HLOOKUP("start",ESLData!C$1:C$9960,MATCH($A860,ESLData!$B$1:$B$9960,0)))</f>
        <v>Regional Specialist Services</v>
      </c>
    </row>
    <row r="861" spans="1:11" ht="14.25" customHeight="1" x14ac:dyDescent="0.2">
      <c r="A861" s="144">
        <v>35199</v>
      </c>
      <c r="C861" s="143">
        <f>HLOOKUP("start",ESLData!E$1:E$9960,MATCH($A861,ESLData!$B$1:$B$9960,0))</f>
        <v>0</v>
      </c>
      <c r="E861" s="143">
        <f>HLOOKUP("start",ESLData!F$1:F$9960,MATCH($A861,ESLData!$B$1:$B$9960,0))</f>
        <v>0</v>
      </c>
      <c r="G861" s="143">
        <f>HLOOKUP("start",ESLData!H$1:H$9960,MATCH($A861,ESLData!$B$1:$B$9960,0))</f>
        <v>0</v>
      </c>
      <c r="J861" s="156" t="s">
        <v>987</v>
      </c>
      <c r="K861" s="142" t="str">
        <f>IF(ISNA(HLOOKUP("start",ESLData!C$1:C$9960,MATCH($A861,ESLData!$B$1:$B$9960,0))),"",HLOOKUP("start",ESLData!C$1:C$9960,MATCH($A861,ESLData!$B$1:$B$9960,0)))</f>
        <v>Round Table &amp; SEPANZ</v>
      </c>
    </row>
    <row r="862" spans="1:11" ht="14.25" customHeight="1" x14ac:dyDescent="0.2">
      <c r="A862" s="144">
        <v>35198</v>
      </c>
      <c r="C862" s="143">
        <f>HLOOKUP("start",ESLData!E$1:E$9960,MATCH($A862,ESLData!$B$1:$B$9960,0))</f>
        <v>0</v>
      </c>
      <c r="D862" s="162">
        <f>ROUND(SUM(C850:C862),0)</f>
        <v>19643</v>
      </c>
      <c r="E862" s="143">
        <f>HLOOKUP("start",ESLData!F$1:F$9960,MATCH($A862,ESLData!$B$1:$B$9960,0))</f>
        <v>0</v>
      </c>
      <c r="F862" s="155">
        <f>ROUND(SUM(E850:E862),0)</f>
        <v>400</v>
      </c>
      <c r="G862" s="143">
        <f>HLOOKUP("start",ESLData!H$1:H$9960,MATCH($A862,ESLData!$B$1:$B$9960,0))</f>
        <v>0</v>
      </c>
      <c r="H862" s="162">
        <f>ROUND(SUM(G850:G862),0)</f>
        <v>6943</v>
      </c>
      <c r="J862" s="156" t="s">
        <v>987</v>
      </c>
      <c r="K862" s="142" t="str">
        <f>IF(ISNA(HLOOKUP("start",ESLData!C$1:C$9960,MATCH($A862,ESLData!$B$1:$B$9960,0))),"",HLOOKUP("start",ESLData!C$1:C$9960,MATCH($A862,ESLData!$B$1:$B$9960,0)))</f>
        <v>International Visiting Speaker</v>
      </c>
    </row>
    <row r="863" spans="1:11" ht="14.25" customHeight="1" x14ac:dyDescent="0.2">
      <c r="C863" s="143"/>
      <c r="E863" s="143"/>
      <c r="G863" s="143"/>
      <c r="K863" s="142" t="str">
        <f>IF(ISNA(HLOOKUP("start",ESLData!C$1:C$9960,MATCH($A863,ESLData!$B$1:$B$9960,0))),"",HLOOKUP("start",ESLData!C$1:C$9960,MATCH($A863,ESLData!$B$1:$B$9960,0)))</f>
        <v/>
      </c>
    </row>
    <row r="864" spans="1:11" ht="14.25" customHeight="1" x14ac:dyDescent="0.2">
      <c r="A864" s="151" t="s">
        <v>611</v>
      </c>
      <c r="C864" s="143"/>
      <c r="E864" s="143"/>
      <c r="G864" s="143"/>
      <c r="K864" s="142" t="str">
        <f>IF(ISNA(HLOOKUP("start",ESLData!C$1:C$9960,MATCH($A864,ESLData!$B$1:$B$9960,0))),"",HLOOKUP("start",ESLData!C$1:C$9960,MATCH($A864,ESLData!$B$1:$B$9960,0)))</f>
        <v/>
      </c>
    </row>
    <row r="865" spans="1:11" ht="14.25" customHeight="1" x14ac:dyDescent="0.2">
      <c r="A865" s="147" t="s">
        <v>648</v>
      </c>
      <c r="C865" s="143"/>
      <c r="E865" s="143"/>
      <c r="G865" s="143"/>
      <c r="K865" s="142" t="str">
        <f>IF(ISNA(HLOOKUP("start",ESLData!C$1:C$9960,MATCH($A865,ESLData!$B$1:$B$9960,0))),"",HLOOKUP("start",ESLData!C$1:C$9960,MATCH($A865,ESLData!$B$1:$B$9960,0)))</f>
        <v/>
      </c>
    </row>
    <row r="866" spans="1:11" ht="14.25" customHeight="1" x14ac:dyDescent="0.2">
      <c r="A866" s="144">
        <v>46040</v>
      </c>
      <c r="C866" s="143">
        <f>HLOOKUP("start",ESLData!E$1:E$9960,MATCH($A866,ESLData!$B$1:$B$9960,0))</f>
        <v>11927</v>
      </c>
      <c r="D866" s="163">
        <f>ROUND(SUM(C866),0)</f>
        <v>11927</v>
      </c>
      <c r="E866" s="143">
        <f>HLOOKUP("start",ESLData!F$1:F$9960,MATCH($A866,ESLData!$B$1:$B$9960,0))</f>
        <v>11927</v>
      </c>
      <c r="F866" s="148">
        <f>ROUND(SUM(E866),0)</f>
        <v>11927</v>
      </c>
      <c r="G866" s="164">
        <f>HLOOKUP("start",ESLData!H$1:H$9960,MATCH($A866,ESLData!$B$1:$B$9960,0))</f>
        <v>11580</v>
      </c>
      <c r="H866" s="148">
        <f>ROUND(SUM(G866),0)</f>
        <v>11580</v>
      </c>
      <c r="J866" s="156" t="s">
        <v>987</v>
      </c>
      <c r="K866" s="142" t="str">
        <f>IF(ISNA(HLOOKUP("start",ESLData!C$1:C$9960,MATCH($A866,ESLData!$B$1:$B$9960,0))),"",HLOOKUP("start",ESLData!C$1:C$9960,MATCH($A866,ESLData!$B$1:$B$9960,0)))</f>
        <v>Audit Fees</v>
      </c>
    </row>
    <row r="867" spans="1:11" ht="14.25" customHeight="1" x14ac:dyDescent="0.2">
      <c r="A867" s="147" t="s">
        <v>420</v>
      </c>
      <c r="C867" s="143"/>
      <c r="E867" s="143"/>
      <c r="G867" s="143"/>
      <c r="J867" s="156" t="s">
        <v>987</v>
      </c>
      <c r="K867" s="142" t="str">
        <f>IF(ISNA(HLOOKUP("start",ESLData!C$1:C$9960,MATCH($A867,ESLData!$B$1:$B$9960,0))),"",HLOOKUP("start",ESLData!C$1:C$9960,MATCH($A867,ESLData!$B$1:$B$9960,0)))</f>
        <v/>
      </c>
    </row>
    <row r="868" spans="1:11" ht="14.25" customHeight="1" x14ac:dyDescent="0.2">
      <c r="A868" s="144">
        <v>46080</v>
      </c>
      <c r="C868" s="143">
        <f>HLOOKUP("start",ESLData!E$1:E$9960,MATCH($A868,ESLData!$B$1:$B$9960,0))</f>
        <v>6000</v>
      </c>
      <c r="D868" s="163">
        <f>ROUND(SUM(C868),0)</f>
        <v>6000</v>
      </c>
      <c r="E868" s="143">
        <f>HLOOKUP("start",ESLData!F$1:F$9960,MATCH($A868,ESLData!$B$1:$B$9960,0))</f>
        <v>12000</v>
      </c>
      <c r="F868" s="148">
        <f>ROUND(SUM(E868),0)</f>
        <v>12000</v>
      </c>
      <c r="G868" s="164">
        <f>HLOOKUP("start",ESLData!H$1:H$9960,MATCH($A868,ESLData!$B$1:$B$9960,0))</f>
        <v>5960</v>
      </c>
      <c r="H868" s="148">
        <f>ROUND(SUM(G868),0)</f>
        <v>5960</v>
      </c>
      <c r="J868" s="156" t="s">
        <v>987</v>
      </c>
      <c r="K868" s="142" t="str">
        <f>IF(ISNA(HLOOKUP("start",ESLData!C$1:C$9960,MATCH($A868,ESLData!$B$1:$B$9960,0))),"",HLOOKUP("start",ESLData!C$1:C$9960,MATCH($A868,ESLData!$B$1:$B$9960,0)))</f>
        <v>BOT - Attendance Fees</v>
      </c>
    </row>
    <row r="869" spans="1:11" ht="14.25" customHeight="1" x14ac:dyDescent="0.2">
      <c r="A869" s="147" t="s">
        <v>421</v>
      </c>
      <c r="C869" s="143"/>
      <c r="E869" s="143"/>
      <c r="G869" s="143"/>
      <c r="J869" s="156" t="s">
        <v>987</v>
      </c>
      <c r="K869" s="142" t="str">
        <f>IF(ISNA(HLOOKUP("start",ESLData!C$1:C$9960,MATCH($A869,ESLData!$B$1:$B$9960,0))),"",HLOOKUP("start",ESLData!C$1:C$9960,MATCH($A869,ESLData!$B$1:$B$9960,0)))</f>
        <v/>
      </c>
    </row>
    <row r="870" spans="1:11" ht="14.25" customHeight="1" x14ac:dyDescent="0.2">
      <c r="A870" s="144">
        <v>46060</v>
      </c>
      <c r="C870" s="143">
        <f>HLOOKUP("start",ESLData!E$1:E$9960,MATCH($A870,ESLData!$B$1:$B$9960,0))</f>
        <v>32628.799999999999</v>
      </c>
      <c r="E870" s="143">
        <f>HLOOKUP("start",ESLData!F$1:F$9960,MATCH($A870,ESLData!$B$1:$B$9960,0))</f>
        <v>23000</v>
      </c>
      <c r="G870" s="143">
        <f>HLOOKUP("start",ESLData!H$1:H$9960,MATCH($A870,ESLData!$B$1:$B$9960,0))</f>
        <v>50113.85</v>
      </c>
      <c r="J870" s="156" t="s">
        <v>987</v>
      </c>
      <c r="K870" s="142" t="str">
        <f>IF(ISNA(HLOOKUP("start",ESLData!C$1:C$9960,MATCH($A870,ESLData!$B$1:$B$9960,0))),"",HLOOKUP("start",ESLData!C$1:C$9960,MATCH($A870,ESLData!$B$1:$B$9960,0)))</f>
        <v>BOT - Administration &amp; Sub</v>
      </c>
    </row>
    <row r="871" spans="1:11" ht="14.25" customHeight="1" x14ac:dyDescent="0.2">
      <c r="A871" s="144">
        <v>46100</v>
      </c>
      <c r="C871" s="143">
        <f>HLOOKUP("start",ESLData!E$1:E$9960,MATCH($A871,ESLData!$B$1:$B$9960,0))</f>
        <v>10568.9</v>
      </c>
      <c r="E871" s="143">
        <f>HLOOKUP("start",ESLData!F$1:F$9960,MATCH($A871,ESLData!$B$1:$B$9960,0))</f>
        <v>10000</v>
      </c>
      <c r="G871" s="143">
        <f>HLOOKUP("start",ESLData!H$1:H$9960,MATCH($A871,ESLData!$B$1:$B$9960,0))</f>
        <v>10463.44</v>
      </c>
      <c r="J871" s="156"/>
      <c r="K871" s="142" t="str">
        <f>IF(ISNA(HLOOKUP("start",ESLData!C$1:C$9960,MATCH($A871,ESLData!$B$1:$B$9960,0))),"",HLOOKUP("start",ESLData!C$1:C$9960,MATCH($A871,ESLData!$B$1:$B$9960,0)))</f>
        <v>BOT - Elections</v>
      </c>
    </row>
    <row r="872" spans="1:11" ht="14.25" customHeight="1" x14ac:dyDescent="0.2">
      <c r="A872" s="144">
        <v>46160</v>
      </c>
      <c r="C872" s="143">
        <f>HLOOKUP("start",ESLData!E$1:E$9960,MATCH($A872,ESLData!$B$1:$B$9960,0))</f>
        <v>203.15</v>
      </c>
      <c r="E872" s="143">
        <f>HLOOKUP("start",ESLData!F$1:F$9960,MATCH($A872,ESLData!$B$1:$B$9960,0))</f>
        <v>250</v>
      </c>
      <c r="G872" s="143">
        <f>HLOOKUP("start",ESLData!H$1:H$9960,MATCH($A872,ESLData!$B$1:$B$9960,0))</f>
        <v>280.82</v>
      </c>
      <c r="J872" s="156" t="s">
        <v>987</v>
      </c>
      <c r="K872" s="142" t="str">
        <f>IF(ISNA(HLOOKUP("start",ESLData!C$1:C$9960,MATCH($A872,ESLData!$B$1:$B$9960,0))),"",HLOOKUP("start",ESLData!C$1:C$9960,MATCH($A872,ESLData!$B$1:$B$9960,0)))</f>
        <v>BOT - Subscriptions</v>
      </c>
    </row>
    <row r="873" spans="1:11" ht="14.25" customHeight="1" x14ac:dyDescent="0.2">
      <c r="A873" s="144">
        <v>46180</v>
      </c>
      <c r="C873" s="143">
        <f>HLOOKUP("start",ESLData!E$1:E$9960,MATCH($A873,ESLData!$B$1:$B$9960,0))</f>
        <v>0</v>
      </c>
      <c r="E873" s="143">
        <f>HLOOKUP("start",ESLData!F$1:F$9960,MATCH($A873,ESLData!$B$1:$B$9960,0))</f>
        <v>1000</v>
      </c>
      <c r="G873" s="143">
        <f>HLOOKUP("start",ESLData!H$1:H$9960,MATCH($A873,ESLData!$B$1:$B$9960,0))</f>
        <v>1000</v>
      </c>
      <c r="J873" s="156" t="s">
        <v>987</v>
      </c>
      <c r="K873" s="142" t="str">
        <f>IF(ISNA(HLOOKUP("start",ESLData!C$1:C$9960,MATCH($A873,ESLData!$B$1:$B$9960,0))),"",HLOOKUP("start",ESLData!C$1:C$9960,MATCH($A873,ESLData!$B$1:$B$9960,0)))</f>
        <v>BOT - Training</v>
      </c>
    </row>
    <row r="874" spans="1:11" ht="14.25" customHeight="1" x14ac:dyDescent="0.2">
      <c r="A874" s="144">
        <v>46190</v>
      </c>
      <c r="C874" s="143">
        <f>HLOOKUP("start",ESLData!E$1:E$9960,MATCH($A874,ESLData!$B$1:$B$9960,0))</f>
        <v>11636.92</v>
      </c>
      <c r="D874" s="162">
        <f>ROUND(SUM(C870:C874),0)</f>
        <v>55038</v>
      </c>
      <c r="E874" s="143">
        <f>HLOOKUP("start",ESLData!F$1:F$9960,MATCH($A874,ESLData!$B$1:$B$9960,0))</f>
        <v>6000</v>
      </c>
      <c r="F874" s="155">
        <f>ROUND(SUM(E870:E874),0)</f>
        <v>40250</v>
      </c>
      <c r="G874" s="143">
        <f>HLOOKUP("start",ESLData!H$1:H$9960,MATCH($A874,ESLData!$B$1:$B$9960,0))</f>
        <v>12659.6</v>
      </c>
      <c r="H874" s="162">
        <f>ROUND(SUM(G870:G874),0)</f>
        <v>74518</v>
      </c>
      <c r="J874" s="156" t="s">
        <v>987</v>
      </c>
      <c r="K874" s="142" t="str">
        <f>IF(ISNA(HLOOKUP("start",ESLData!C$1:C$9960,MATCH($A874,ESLData!$B$1:$B$9960,0))),"",HLOOKUP("start",ESLData!C$1:C$9960,MATCH($A874,ESLData!$B$1:$B$9960,0)))</f>
        <v>BOT - Travel</v>
      </c>
    </row>
    <row r="875" spans="1:11" ht="14.25" customHeight="1" x14ac:dyDescent="0.2">
      <c r="C875" s="143"/>
      <c r="D875" s="155"/>
      <c r="E875" s="143"/>
      <c r="F875" s="155"/>
      <c r="G875" s="143"/>
      <c r="H875" s="155"/>
      <c r="J875" s="156"/>
    </row>
    <row r="876" spans="1:11" ht="14.25" customHeight="1" x14ac:dyDescent="0.2">
      <c r="C876" s="143"/>
      <c r="D876" s="155"/>
      <c r="E876" s="143"/>
      <c r="F876" s="155"/>
      <c r="G876" s="143"/>
      <c r="H876" s="155"/>
      <c r="J876" s="156"/>
    </row>
    <row r="877" spans="1:11" ht="14.25" customHeight="1" x14ac:dyDescent="0.2">
      <c r="A877" s="147" t="s">
        <v>422</v>
      </c>
      <c r="C877" s="143"/>
      <c r="E877" s="143"/>
      <c r="G877" s="143"/>
      <c r="J877" s="156" t="s">
        <v>987</v>
      </c>
      <c r="K877" s="142" t="str">
        <f>IF(ISNA(HLOOKUP("start",ESLData!C$1:C$9960,MATCH($A877,ESLData!$B$1:$B$9960,0))),"",HLOOKUP("start",ESLData!C$1:C$9960,MATCH($A877,ESLData!$B$1:$B$9960,0)))</f>
        <v/>
      </c>
    </row>
    <row r="878" spans="1:11" ht="14.25" customHeight="1" x14ac:dyDescent="0.2">
      <c r="A878" s="144">
        <v>30250</v>
      </c>
      <c r="C878" s="143">
        <f>HLOOKUP("start",ESLData!E$1:E$9960,MATCH($A878,ESLData!$B$1:$B$9960,0))</f>
        <v>8575.76</v>
      </c>
      <c r="D878" s="148"/>
      <c r="E878" s="143">
        <f>HLOOKUP("start",ESLData!F$1:F$9960,MATCH($A878,ESLData!$B$1:$B$9960,0))</f>
        <v>8000</v>
      </c>
      <c r="F878" s="148"/>
      <c r="G878" s="143">
        <f>HLOOKUP("start",ESLData!H$1:H$9960,MATCH($A878,ESLData!$B$1:$B$9960,0))</f>
        <v>7987.44</v>
      </c>
      <c r="H878" s="148"/>
      <c r="J878" s="156" t="s">
        <v>987</v>
      </c>
      <c r="K878" s="142" t="str">
        <f>IF(ISNA(HLOOKUP("start",ESLData!C$1:C$9960,MATCH($A878,ESLData!$B$1:$B$9960,0))),"",HLOOKUP("start",ESLData!C$1:C$9960,MATCH($A878,ESLData!$B$1:$B$9960,0)))</f>
        <v>Telephone/Tolls/Faxes</v>
      </c>
    </row>
    <row r="879" spans="1:11" ht="14.25" customHeight="1" x14ac:dyDescent="0.2">
      <c r="A879" s="145" t="s">
        <v>1454</v>
      </c>
      <c r="C879" s="143">
        <f>HLOOKUP("start",ESLData!E$1:E$9960,MATCH($A879,ESLData!$B$1:$B$9960,0))</f>
        <v>0</v>
      </c>
      <c r="E879" s="143">
        <f>HLOOKUP("start",ESLData!F$1:F$9960,MATCH($A879,ESLData!$B$1:$B$9960,0))</f>
        <v>0</v>
      </c>
      <c r="G879" s="143">
        <f>HLOOKUP("start",ESLData!H$1:H$9960,MATCH($A879,ESLData!$B$1:$B$9960,0))</f>
        <v>0</v>
      </c>
      <c r="J879" s="156" t="s">
        <v>987</v>
      </c>
      <c r="K879" s="142" t="str">
        <f>IF(ISNA(HLOOKUP("start",ESLData!C$1:C$9960,MATCH($A879,ESLData!$B$1:$B$9960,0))),"",HLOOKUP("start",ESLData!C$1:C$9960,MATCH($A879,ESLData!$B$1:$B$9960,0)))</f>
        <v>Tel Rental/Tolls/Fax</v>
      </c>
    </row>
    <row r="880" spans="1:11" ht="14.25" customHeight="1" x14ac:dyDescent="0.2">
      <c r="A880" s="144">
        <v>36022</v>
      </c>
      <c r="C880" s="143">
        <f>HLOOKUP("start",ESLData!E$1:E$9960,MATCH($A880,ESLData!$B$1:$B$9960,0))</f>
        <v>1820.64</v>
      </c>
      <c r="E880" s="143">
        <f>HLOOKUP("start",ESLData!F$1:F$9960,MATCH($A880,ESLData!$B$1:$B$9960,0))</f>
        <v>1800</v>
      </c>
      <c r="G880" s="143">
        <f>HLOOKUP("start",ESLData!H$1:H$9960,MATCH($A880,ESLData!$B$1:$B$9960,0))</f>
        <v>1851.79</v>
      </c>
      <c r="J880" s="156" t="s">
        <v>987</v>
      </c>
      <c r="K880" s="142" t="str">
        <f>IF(ISNA(HLOOKUP("start",ESLData!C$1:C$9960,MATCH($A880,ESLData!$B$1:$B$9960,0))),"",HLOOKUP("start",ESLData!C$1:C$9960,MATCH($A880,ESLData!$B$1:$B$9960,0)))</f>
        <v>Cell Phones</v>
      </c>
    </row>
    <row r="881" spans="1:11" ht="14.25" customHeight="1" x14ac:dyDescent="0.2">
      <c r="A881" s="144">
        <v>46260</v>
      </c>
      <c r="C881" s="143">
        <f>HLOOKUP("start",ESLData!E$1:E$9960,MATCH($A881,ESLData!$B$1:$B$9960,0))</f>
        <v>10959.67</v>
      </c>
      <c r="E881" s="143">
        <f>HLOOKUP("start",ESLData!F$1:F$9960,MATCH($A881,ESLData!$B$1:$B$9960,0))</f>
        <v>16300</v>
      </c>
      <c r="G881" s="143">
        <f>HLOOKUP("start",ESLData!H$1:H$9960,MATCH($A881,ESLData!$B$1:$B$9960,0))</f>
        <v>17064.79</v>
      </c>
      <c r="J881" s="156" t="s">
        <v>987</v>
      </c>
      <c r="K881" s="142" t="str">
        <f>IF(ISNA(HLOOKUP("start",ESLData!C$1:C$9960,MATCH($A881,ESLData!$B$1:$B$9960,0))),"",HLOOKUP("start",ESLData!C$1:C$9960,MATCH($A881,ESLData!$B$1:$B$9960,0)))</f>
        <v>Telephone/Tolls/Faxes</v>
      </c>
    </row>
    <row r="882" spans="1:11" ht="14.25" customHeight="1" x14ac:dyDescent="0.2">
      <c r="A882" s="144">
        <v>46300</v>
      </c>
      <c r="C882" s="143">
        <f>HLOOKUP("start",ESLData!E$1:E$9960,MATCH($A882,ESLData!$B$1:$B$9960,0))</f>
        <v>2035.32</v>
      </c>
      <c r="E882" s="143">
        <f>HLOOKUP("start",ESLData!F$1:F$9960,MATCH($A882,ESLData!$B$1:$B$9960,0))</f>
        <v>2500</v>
      </c>
      <c r="G882" s="143">
        <f>HLOOKUP("start",ESLData!H$1:H$9960,MATCH($A882,ESLData!$B$1:$B$9960,0))</f>
        <v>1374.14</v>
      </c>
      <c r="J882" s="156" t="s">
        <v>987</v>
      </c>
      <c r="K882" s="142" t="str">
        <f>IF(ISNA(HLOOKUP("start",ESLData!C$1:C$9960,MATCH($A882,ESLData!$B$1:$B$9960,0))),"",HLOOKUP("start",ESLData!C$1:C$9960,MATCH($A882,ESLData!$B$1:$B$9960,0)))</f>
        <v>Computer/Software Expenses</v>
      </c>
    </row>
    <row r="883" spans="1:11" ht="14.25" customHeight="1" x14ac:dyDescent="0.2">
      <c r="A883" s="144">
        <v>46644</v>
      </c>
      <c r="C883" s="143">
        <f>HLOOKUP("start",ESLData!E$1:E$9960,MATCH($A883,ESLData!$B$1:$B$9960,0))</f>
        <v>537009.93000000005</v>
      </c>
      <c r="D883" s="148"/>
      <c r="E883" s="143">
        <f>HLOOKUP("start",ESLData!F$1:F$9960,MATCH($A883,ESLData!$B$1:$B$9960,0))</f>
        <v>520000</v>
      </c>
      <c r="F883" s="148"/>
      <c r="G883" s="143">
        <f>HLOOKUP("start",ESLData!H$1:H$9960,MATCH($A883,ESLData!$B$1:$B$9960,0))</f>
        <v>458908.1</v>
      </c>
      <c r="H883" s="148"/>
      <c r="J883" s="156" t="s">
        <v>987</v>
      </c>
      <c r="K883" s="142" t="str">
        <f>IF(ISNA(HLOOKUP("start",ESLData!C$1:C$9960,MATCH($A883,ESLData!$B$1:$B$9960,0))),"",HLOOKUP("start",ESLData!C$1:C$9960,MATCH($A883,ESLData!$B$1:$B$9960,0)))</f>
        <v>Ict Technical Support</v>
      </c>
    </row>
    <row r="884" spans="1:11" ht="14.25" customHeight="1" x14ac:dyDescent="0.2">
      <c r="A884" s="144">
        <v>36028</v>
      </c>
      <c r="C884" s="143">
        <f>HLOOKUP("start",ESLData!E$1:E$9960,MATCH($A884,ESLData!$B$1:$B$9960,0))</f>
        <v>0</v>
      </c>
      <c r="D884" s="148"/>
      <c r="E884" s="143">
        <f>HLOOKUP("start",ESLData!F$1:F$9960,MATCH($A884,ESLData!$B$1:$B$9960,0))</f>
        <v>3225</v>
      </c>
      <c r="F884" s="148"/>
      <c r="G884" s="143">
        <f>HLOOKUP("start",ESLData!H$1:H$9960,MATCH($A884,ESLData!$B$1:$B$9960,0))</f>
        <v>0</v>
      </c>
      <c r="H884" s="148"/>
      <c r="J884" s="156" t="s">
        <v>987</v>
      </c>
      <c r="K884" s="142" t="str">
        <f>IF(ISNA(HLOOKUP("start",ESLData!C$1:C$9960,MATCH($A884,ESLData!$B$1:$B$9960,0))),"",HLOOKUP("start",ESLData!C$1:C$9960,MATCH($A884,ESLData!$B$1:$B$9960,0)))</f>
        <v>Software</v>
      </c>
    </row>
    <row r="885" spans="1:11" ht="14.25" customHeight="1" x14ac:dyDescent="0.2">
      <c r="A885" s="144">
        <v>46655</v>
      </c>
      <c r="C885" s="143">
        <f>HLOOKUP("start",ESLData!E$1:E$9960,MATCH($A885,ESLData!$B$1:$B$9960,0))</f>
        <v>26426.46</v>
      </c>
      <c r="D885" s="148"/>
      <c r="E885" s="143">
        <f>HLOOKUP("start",ESLData!F$1:F$9960,MATCH($A885,ESLData!$B$1:$B$9960,0))</f>
        <v>34985</v>
      </c>
      <c r="F885" s="148"/>
      <c r="G885" s="143">
        <f>HLOOKUP("start",ESLData!H$1:H$9960,MATCH($A885,ESLData!$B$1:$B$9960,0))</f>
        <v>27008.33</v>
      </c>
      <c r="H885" s="148"/>
      <c r="J885" s="156" t="s">
        <v>987</v>
      </c>
      <c r="K885" s="142" t="str">
        <f>IF(ISNA(HLOOKUP("start",ESLData!C$1:C$9960,MATCH($A885,ESLData!$B$1:$B$9960,0))),"",HLOOKUP("start",ESLData!C$1:C$9960,MATCH($A885,ESLData!$B$1:$B$9960,0)))</f>
        <v>National Software Expenses</v>
      </c>
    </row>
    <row r="886" spans="1:11" ht="14.25" customHeight="1" x14ac:dyDescent="0.2">
      <c r="A886" s="144">
        <v>46657</v>
      </c>
      <c r="C886" s="143">
        <f>HLOOKUP("start",ESLData!E$1:E$9960,MATCH($A886,ESLData!$B$1:$B$9960,0))</f>
        <v>39996.1</v>
      </c>
      <c r="E886" s="143">
        <f>HLOOKUP("start",ESLData!F$1:F$9960,MATCH($A886,ESLData!$B$1:$B$9960,0))</f>
        <v>63200</v>
      </c>
      <c r="G886" s="143">
        <f>HLOOKUP("start",ESLData!H$1:H$9960,MATCH($A886,ESLData!$B$1:$B$9960,0))</f>
        <v>1995.03</v>
      </c>
      <c r="J886" s="156" t="s">
        <v>987</v>
      </c>
      <c r="K886" s="142" t="str">
        <f>IF(ISNA(HLOOKUP("start",ESLData!C$1:C$9960,MATCH($A886,ESLData!$B$1:$B$9960,0))),"",HLOOKUP("start",ESLData!C$1:C$9960,MATCH($A886,ESLData!$B$1:$B$9960,0)))</f>
        <v>ICT Project costs</v>
      </c>
    </row>
    <row r="887" spans="1:11" ht="14.25" customHeight="1" x14ac:dyDescent="0.2">
      <c r="A887" s="144">
        <v>46658</v>
      </c>
      <c r="C887" s="143">
        <f>HLOOKUP("start",ESLData!E$1:E$9960,MATCH($A887,ESLData!$B$1:$B$9960,0))</f>
        <v>5396.78</v>
      </c>
      <c r="D887" s="162">
        <f>ROUND(SUM(C878:C887),0)</f>
        <v>632221</v>
      </c>
      <c r="E887" s="143">
        <f>HLOOKUP("start",ESLData!F$1:F$9960,MATCH($A887,ESLData!$B$1:$B$9960,0))</f>
        <v>22400</v>
      </c>
      <c r="F887" s="155">
        <f>ROUND(SUM(E878:E887),0)</f>
        <v>672410</v>
      </c>
      <c r="G887" s="143">
        <f>HLOOKUP("start",ESLData!H$1:H$9960,MATCH($A887,ESLData!$B$1:$B$9960,0))</f>
        <v>22407.96</v>
      </c>
      <c r="H887" s="162">
        <f>ROUND(SUM(G878:G887),0)</f>
        <v>538598</v>
      </c>
      <c r="J887" s="156" t="s">
        <v>987</v>
      </c>
      <c r="K887" s="142" t="str">
        <f>IF(ISNA(HLOOKUP("start",ESLData!C$1:C$9960,MATCH($A887,ESLData!$B$1:$B$9960,0))),"",HLOOKUP("start",ESLData!C$1:C$9960,MATCH($A887,ESLData!$B$1:$B$9960,0)))</f>
        <v>Network ICT Expenses</v>
      </c>
    </row>
    <row r="888" spans="1:11" ht="14.25" customHeight="1" x14ac:dyDescent="0.2">
      <c r="C888" s="143"/>
      <c r="D888" s="148"/>
      <c r="E888" s="143"/>
      <c r="F888" s="148"/>
      <c r="G888" s="143"/>
      <c r="H888" s="148"/>
      <c r="J888" s="156" t="s">
        <v>987</v>
      </c>
      <c r="K888" s="142" t="str">
        <f>IF(ISNA(HLOOKUP("start",ESLData!C$1:C$9960,MATCH($A888,ESLData!$B$1:$B$9960,0))),"",HLOOKUP("start",ESLData!C$1:C$9960,MATCH($A888,ESLData!$B$1:$B$9960,0)))</f>
        <v/>
      </c>
    </row>
    <row r="889" spans="1:11" ht="14.25" customHeight="1" x14ac:dyDescent="0.2">
      <c r="A889" s="147" t="s">
        <v>619</v>
      </c>
      <c r="C889" s="143"/>
      <c r="E889" s="143"/>
      <c r="G889" s="143"/>
      <c r="J889" s="156" t="s">
        <v>987</v>
      </c>
      <c r="K889" s="142" t="str">
        <f>IF(ISNA(HLOOKUP("start",ESLData!C$1:C$9960,MATCH($A889,ESLData!$B$1:$B$9960,0))),"",HLOOKUP("start",ESLData!C$1:C$9960,MATCH($A889,ESLData!$B$1:$B$9960,0)))</f>
        <v/>
      </c>
    </row>
    <row r="890" spans="1:11" ht="14.25" customHeight="1" x14ac:dyDescent="0.2">
      <c r="A890" s="144">
        <v>46320</v>
      </c>
      <c r="C890" s="143">
        <f>HLOOKUP("start",ESLData!E$1:E$9960,MATCH($A890,ESLData!$B$1:$B$9960,0))</f>
        <v>10214.33</v>
      </c>
      <c r="D890" s="162">
        <f>ROUND(C890,0)</f>
        <v>10214</v>
      </c>
      <c r="E890" s="143">
        <f>HLOOKUP("start",ESLData!F$1:F$9960,MATCH($A890,ESLData!$B$1:$B$9960,0))</f>
        <v>7000</v>
      </c>
      <c r="F890" s="155">
        <f>ROUND(E890,0)</f>
        <v>7000</v>
      </c>
      <c r="G890" s="143">
        <f>HLOOKUP("start",ESLData!H$1:H$9960,MATCH($A890,ESLData!$B$1:$B$9960,0))</f>
        <v>7000.23</v>
      </c>
      <c r="H890" s="162">
        <f>ROUND(G890,0)</f>
        <v>7000</v>
      </c>
      <c r="J890" s="156" t="s">
        <v>987</v>
      </c>
      <c r="K890" s="142" t="str">
        <f>IF(ISNA(HLOOKUP("start",ESLData!C$1:C$9960,MATCH($A890,ESLData!$B$1:$B$9960,0))),"",HLOOKUP("start",ESLData!C$1:C$9960,MATCH($A890,ESLData!$B$1:$B$9960,0)))</f>
        <v>General</v>
      </c>
    </row>
    <row r="891" spans="1:11" ht="14.25" customHeight="1" x14ac:dyDescent="0.2">
      <c r="C891" s="143"/>
      <c r="E891" s="143"/>
      <c r="G891" s="143"/>
      <c r="J891" s="156" t="s">
        <v>987</v>
      </c>
      <c r="K891" s="142" t="str">
        <f>IF(ISNA(HLOOKUP("start",ESLData!C$1:C$9960,MATCH($A891,ESLData!$B$1:$B$9960,0))),"",HLOOKUP("start",ESLData!C$1:C$9960,MATCH($A891,ESLData!$B$1:$B$9960,0)))</f>
        <v/>
      </c>
    </row>
    <row r="892" spans="1:11" ht="14.25" customHeight="1" x14ac:dyDescent="0.2">
      <c r="A892" s="147" t="s">
        <v>423</v>
      </c>
      <c r="C892" s="143"/>
      <c r="D892" s="148"/>
      <c r="E892" s="143"/>
      <c r="F892" s="148"/>
      <c r="G892" s="143"/>
      <c r="H892" s="148"/>
      <c r="J892" s="156" t="s">
        <v>987</v>
      </c>
      <c r="K892" s="142" t="str">
        <f>IF(ISNA(HLOOKUP("start",ESLData!C$1:C$9960,MATCH($A892,ESLData!$B$1:$B$9960,0))),"",HLOOKUP("start",ESLData!C$1:C$9960,MATCH($A892,ESLData!$B$1:$B$9960,0)))</f>
        <v/>
      </c>
    </row>
    <row r="893" spans="1:11" ht="14.25" customHeight="1" x14ac:dyDescent="0.2">
      <c r="A893" s="144">
        <v>30690</v>
      </c>
      <c r="C893" s="143">
        <f>HLOOKUP("start",ESLData!E$1:E$9960,MATCH($A893,ESLData!$B$1:$B$9960,0))</f>
        <v>4598.08</v>
      </c>
      <c r="E893" s="143">
        <f>HLOOKUP("start",ESLData!F$1:F$9960,MATCH($A893,ESLData!$B$1:$B$9960,0))</f>
        <v>4000</v>
      </c>
      <c r="G893" s="143">
        <f>HLOOKUP("start",ESLData!H$1:H$9960,MATCH($A893,ESLData!$B$1:$B$9960,0))</f>
        <v>6294.76</v>
      </c>
      <c r="H893" s="148"/>
      <c r="J893" s="156" t="s">
        <v>987</v>
      </c>
      <c r="K893" s="142" t="str">
        <f>IF(ISNA(HLOOKUP("start",ESLData!C$1:C$9960,MATCH($A893,ESLData!$B$1:$B$9960,0))),"",HLOOKUP("start",ESLData!C$1:C$9960,MATCH($A893,ESLData!$B$1:$B$9960,0)))</f>
        <v>Tela Teachers Laptop Lease</v>
      </c>
    </row>
    <row r="894" spans="1:11" ht="14.25" customHeight="1" x14ac:dyDescent="0.2">
      <c r="A894" s="144">
        <v>1999</v>
      </c>
      <c r="C894" s="143">
        <f>HLOOKUP("start",ESLData!E$1:E$9960,MATCH($A894,ESLData!$B$1:$B$9960,0))</f>
        <v>0</v>
      </c>
      <c r="E894" s="143">
        <f>HLOOKUP("start",ESLData!F$1:F$9960,MATCH($A894,ESLData!$B$1:$B$9960,0))</f>
        <v>0</v>
      </c>
      <c r="G894" s="143">
        <f>HLOOKUP("start",ESLData!H$1:H$9960,MATCH($A894,ESLData!$B$1:$B$9960,0))</f>
        <v>0</v>
      </c>
      <c r="H894" s="148"/>
      <c r="J894" s="156" t="s">
        <v>987</v>
      </c>
      <c r="K894" s="142" t="str">
        <f>IF(ISNA(HLOOKUP("start",ESLData!C$1:C$9960,MATCH($A894,ESLData!$B$1:$B$9960,0))),"",HLOOKUP("start",ESLData!C$1:C$9960,MATCH($A894,ESLData!$B$1:$B$9960,0)))</f>
        <v>MOE Portion Laptop leases</v>
      </c>
    </row>
    <row r="895" spans="1:11" ht="14.25" customHeight="1" x14ac:dyDescent="0.2">
      <c r="A895" s="144">
        <v>3999</v>
      </c>
      <c r="C895" s="143">
        <f>HLOOKUP("start",ESLData!E$1:E$9960,MATCH($A895,ESLData!$B$1:$B$9960,0))</f>
        <v>0</v>
      </c>
      <c r="E895" s="143">
        <f>HLOOKUP("start",ESLData!F$1:F$9960,MATCH($A895,ESLData!$B$1:$B$9960,0))</f>
        <v>0</v>
      </c>
      <c r="G895" s="143">
        <f>HLOOKUP("start",ESLData!H$1:H$9960,MATCH($A895,ESLData!$B$1:$B$9960,0))</f>
        <v>0</v>
      </c>
      <c r="H895" s="148"/>
      <c r="J895" s="156" t="s">
        <v>987</v>
      </c>
      <c r="K895" s="142" t="str">
        <f>IF(ISNA(HLOOKUP("start",ESLData!C$1:C$9960,MATCH($A895,ESLData!$B$1:$B$9960,0))),"",HLOOKUP("start",ESLData!C$1:C$9960,MATCH($A895,ESLData!$B$1:$B$9960,0)))</f>
        <v>MOE Portion Operation Lease</v>
      </c>
    </row>
    <row r="896" spans="1:11" ht="14.25" customHeight="1" x14ac:dyDescent="0.2">
      <c r="A896" s="144">
        <v>30691</v>
      </c>
      <c r="C896" s="143">
        <f>HLOOKUP("start",ESLData!E$1:E$9960,MATCH($A896,ESLData!$B$1:$B$9960,0))</f>
        <v>0</v>
      </c>
      <c r="D896" s="162">
        <f>ROUND(SUM(C893:C896),0)</f>
        <v>4598</v>
      </c>
      <c r="E896" s="143">
        <f>HLOOKUP("start",ESLData!F$1:F$9960,MATCH($A896,ESLData!$B$1:$B$9960,0))</f>
        <v>0</v>
      </c>
      <c r="F896" s="155">
        <f>ROUND(SUM(E893:E896),0)</f>
        <v>4000</v>
      </c>
      <c r="G896" s="143">
        <f>HLOOKUP("start",ESLData!H$1:H$9960,MATCH($A896,ESLData!$B$1:$B$9960,0))</f>
        <v>0</v>
      </c>
      <c r="H896" s="162">
        <f>ROUND(SUM(G893:G896),0)</f>
        <v>6295</v>
      </c>
      <c r="J896" s="156" t="s">
        <v>987</v>
      </c>
      <c r="K896" s="142" t="str">
        <f>IF(ISNA(HLOOKUP("start",ESLData!C$1:C$9960,MATCH($A896,ESLData!$B$1:$B$9960,0))),"",HLOOKUP("start",ESLData!C$1:C$9960,MATCH($A896,ESLData!$B$1:$B$9960,0)))</f>
        <v>MOE PORTION Laptop lease</v>
      </c>
    </row>
    <row r="897" spans="1:11" ht="14.25" customHeight="1" x14ac:dyDescent="0.2">
      <c r="C897" s="143"/>
      <c r="D897" s="155"/>
      <c r="E897" s="143"/>
      <c r="F897" s="155"/>
      <c r="G897" s="143"/>
      <c r="H897" s="155"/>
      <c r="J897" s="156"/>
    </row>
    <row r="898" spans="1:11" ht="14.25" customHeight="1" x14ac:dyDescent="0.2">
      <c r="C898" s="143"/>
      <c r="D898" s="155"/>
      <c r="E898" s="143"/>
      <c r="F898" s="155"/>
      <c r="G898" s="143"/>
      <c r="H898" s="155"/>
      <c r="J898" s="156"/>
    </row>
    <row r="899" spans="1:11" s="152" customFormat="1" ht="14.25" customHeight="1" x14ac:dyDescent="0.2">
      <c r="A899" s="147" t="s">
        <v>51</v>
      </c>
      <c r="C899" s="153"/>
      <c r="D899" s="155"/>
      <c r="E899" s="153"/>
      <c r="F899" s="155"/>
      <c r="G899" s="153"/>
      <c r="H899" s="155"/>
      <c r="J899" s="156" t="s">
        <v>987</v>
      </c>
      <c r="K899" s="142" t="str">
        <f>IF(ISNA(HLOOKUP("start",ESLData!C$1:C$9960,MATCH($A899,ESLData!$B$1:$B$9960,0))),"",HLOOKUP("start",ESLData!C$1:C$9960,MATCH($A899,ESLData!$B$1:$B$9960,0)))</f>
        <v/>
      </c>
    </row>
    <row r="900" spans="1:11" ht="14.25" customHeight="1" x14ac:dyDescent="0.2">
      <c r="A900" s="144">
        <v>38090</v>
      </c>
      <c r="C900" s="143">
        <f>HLOOKUP("start",ESLData!E$1:E$9960,MATCH($A900,ESLData!$B$1:$B$9960,0))</f>
        <v>0</v>
      </c>
      <c r="E900" s="143">
        <f>HLOOKUP("start",ESLData!F$1:F$9960,MATCH($A900,ESLData!$B$1:$B$9960,0))</f>
        <v>0</v>
      </c>
      <c r="G900" s="143">
        <f>HLOOKUP("start",ESLData!H$1:H$9960,MATCH($A900,ESLData!$B$1:$B$9960,0))</f>
        <v>19487.599999999999</v>
      </c>
      <c r="I900" s="152"/>
      <c r="J900" s="156" t="s">
        <v>987</v>
      </c>
      <c r="K900" s="142" t="str">
        <f>IF(ISNA(HLOOKUP("start",ESLData!C$1:C$9960,MATCH($A900,ESLData!$B$1:$B$9960,0))),"",HLOOKUP("start",ESLData!C$1:C$9960,MATCH($A900,ESLData!$B$1:$B$9960,0)))</f>
        <v>Legal Fees</v>
      </c>
    </row>
    <row r="901" spans="1:11" ht="14.25" customHeight="1" x14ac:dyDescent="0.2">
      <c r="A901" s="144">
        <v>46660</v>
      </c>
      <c r="C901" s="143">
        <f>HLOOKUP("start",ESLData!E$1:E$9960,MATCH($A901,ESLData!$B$1:$B$9960,0))</f>
        <v>3650.8</v>
      </c>
      <c r="D901" s="162">
        <f>ROUND(SUM(C900:C901),0)</f>
        <v>3651</v>
      </c>
      <c r="E901" s="143">
        <f>HLOOKUP("start",ESLData!F$1:F$9960,MATCH($A901,ESLData!$B$1:$B$9960,0))</f>
        <v>2000</v>
      </c>
      <c r="F901" s="155">
        <f>ROUND(SUM(E900:E901),0)</f>
        <v>2000</v>
      </c>
      <c r="G901" s="143">
        <f>HLOOKUP("start",ESLData!H$1:H$9960,MATCH($A901,ESLData!$B$1:$B$9960,0))</f>
        <v>1648</v>
      </c>
      <c r="H901" s="162">
        <f>ROUND(SUM(G900:G901),0)</f>
        <v>21136</v>
      </c>
      <c r="J901" s="156" t="s">
        <v>987</v>
      </c>
      <c r="K901" s="142" t="str">
        <f>IF(ISNA(HLOOKUP("start",ESLData!C$1:C$9960,MATCH($A901,ESLData!$B$1:$B$9960,0))),"",HLOOKUP("start",ESLData!C$1:C$9960,MATCH($A901,ESLData!$B$1:$B$9960,0)))</f>
        <v>Legal Expenses</v>
      </c>
    </row>
    <row r="902" spans="1:11" ht="14.25" customHeight="1" x14ac:dyDescent="0.2">
      <c r="C902" s="143"/>
      <c r="D902" s="155"/>
      <c r="E902" s="143"/>
      <c r="F902" s="155"/>
      <c r="G902" s="143"/>
      <c r="H902" s="155"/>
      <c r="J902" s="156"/>
    </row>
    <row r="903" spans="1:11" ht="14.25" customHeight="1" x14ac:dyDescent="0.2">
      <c r="C903" s="143"/>
      <c r="D903" s="155"/>
      <c r="E903" s="143"/>
      <c r="F903" s="155"/>
      <c r="G903" s="143"/>
      <c r="H903" s="155"/>
      <c r="J903" s="156"/>
    </row>
    <row r="904" spans="1:11" ht="14.25" customHeight="1" x14ac:dyDescent="0.2">
      <c r="A904" s="147" t="s">
        <v>983</v>
      </c>
      <c r="C904" s="143"/>
      <c r="E904" s="143"/>
      <c r="G904" s="143"/>
      <c r="J904" s="156" t="s">
        <v>987</v>
      </c>
      <c r="K904" s="142" t="str">
        <f>IF(ISNA(HLOOKUP("start",ESLData!C$1:C$9960,MATCH($A904,ESLData!$B$1:$B$9960,0))),"",HLOOKUP("start",ESLData!C$1:C$9960,MATCH($A904,ESLData!$B$1:$B$9960,0)))</f>
        <v/>
      </c>
    </row>
    <row r="905" spans="1:11" ht="14.25" customHeight="1" x14ac:dyDescent="0.2">
      <c r="A905" s="144">
        <v>10902</v>
      </c>
      <c r="C905" s="143">
        <f>HLOOKUP("start",ESLData!E$1:E$9960,MATCH($A905,ESLData!$B$1:$B$9960,0))</f>
        <v>0</v>
      </c>
      <c r="E905" s="143">
        <f>HLOOKUP("start",ESLData!F$1:F$9960,MATCH($A905,ESLData!$B$1:$B$9960,0))</f>
        <v>0</v>
      </c>
      <c r="G905" s="143">
        <f>HLOOKUP("start",ESLData!H$1:H$9960,MATCH($A905,ESLData!$B$1:$B$9960,0))</f>
        <v>0</v>
      </c>
      <c r="J905" s="156" t="s">
        <v>987</v>
      </c>
      <c r="K905" s="142" t="str">
        <f>IF(ISNA(HLOOKUP("start",ESLData!C$1:C$9960,MATCH($A905,ESLData!$B$1:$B$9960,0))),"",HLOOKUP("start",ESLData!C$1:C$9960,MATCH($A905,ESLData!$B$1:$B$9960,0)))</f>
        <v>ECC Expenses (Grant)</v>
      </c>
    </row>
    <row r="906" spans="1:11" s="150" customFormat="1" ht="14.25" customHeight="1" x14ac:dyDescent="0.2">
      <c r="A906" s="144">
        <v>30705</v>
      </c>
      <c r="B906" s="142"/>
      <c r="C906" s="143">
        <f>HLOOKUP("start",ESLData!E$1:E$9960,MATCH($A906,ESLData!$B$1:$B$9960,0))</f>
        <v>205.09</v>
      </c>
      <c r="D906" s="142"/>
      <c r="E906" s="143">
        <f>HLOOKUP("start",ESLData!F$1:F$9960,MATCH($A906,ESLData!$B$1:$B$9960,0))</f>
        <v>400</v>
      </c>
      <c r="F906" s="142"/>
      <c r="G906" s="143">
        <f>HLOOKUP("start",ESLData!H$1:H$9960,MATCH($A906,ESLData!$B$1:$B$9960,0))</f>
        <v>324.82</v>
      </c>
      <c r="H906" s="142"/>
      <c r="K906" s="142" t="str">
        <f>IF(ISNA(HLOOKUP("start",ESLData!C$1:C$9960,MATCH($A906,ESLData!$B$1:$B$9960,0))),"",HLOOKUP("start",ESLData!C$1:C$9960,MATCH($A906,ESLData!$B$1:$B$9960,0)))</f>
        <v>Postage</v>
      </c>
    </row>
    <row r="907" spans="1:11" ht="14.25" customHeight="1" x14ac:dyDescent="0.2">
      <c r="A907" s="144">
        <v>35100</v>
      </c>
      <c r="C907" s="143">
        <f>HLOOKUP("start",ESLData!E$1:E$9960,MATCH($A907,ESLData!$B$1:$B$9960,0))</f>
        <v>65.44</v>
      </c>
      <c r="E907" s="143">
        <f>HLOOKUP("start",ESLData!F$1:F$9960,MATCH($A907,ESLData!$B$1:$B$9960,0))</f>
        <v>200</v>
      </c>
      <c r="G907" s="143">
        <f>HLOOKUP("start",ESLData!H$1:H$9960,MATCH($A907,ESLData!$B$1:$B$9960,0))</f>
        <v>80.150000000000006</v>
      </c>
      <c r="J907" s="156" t="s">
        <v>987</v>
      </c>
      <c r="K907" s="142" t="str">
        <f>IF(ISNA(HLOOKUP("start",ESLData!C$1:C$9960,MATCH($A907,ESLData!$B$1:$B$9960,0))),"",HLOOKUP("start",ESLData!C$1:C$9960,MATCH($A907,ESLData!$B$1:$B$9960,0)))</f>
        <v>Auckland North - Courier</v>
      </c>
    </row>
    <row r="908" spans="1:11" ht="14.25" customHeight="1" x14ac:dyDescent="0.2">
      <c r="A908" s="144">
        <v>35105</v>
      </c>
      <c r="C908" s="143">
        <f>HLOOKUP("start",ESLData!E$1:E$9960,MATCH($A908,ESLData!$B$1:$B$9960,0))</f>
        <v>162.82</v>
      </c>
      <c r="E908" s="143">
        <f>HLOOKUP("start",ESLData!F$1:F$9960,MATCH($A908,ESLData!$B$1:$B$9960,0))</f>
        <v>450</v>
      </c>
      <c r="G908" s="143">
        <f>HLOOKUP("start",ESLData!H$1:H$9960,MATCH($A908,ESLData!$B$1:$B$9960,0))</f>
        <v>709.77</v>
      </c>
      <c r="J908" s="156" t="s">
        <v>987</v>
      </c>
      <c r="K908" s="142" t="str">
        <f>IF(ISNA(HLOOKUP("start",ESLData!C$1:C$9960,MATCH($A908,ESLData!$B$1:$B$9960,0))),"",HLOOKUP("start",ESLData!C$1:C$9960,MATCH($A908,ESLData!$B$1:$B$9960,0)))</f>
        <v>Auckland North - Postage</v>
      </c>
    </row>
    <row r="909" spans="1:11" ht="14.25" customHeight="1" x14ac:dyDescent="0.2">
      <c r="A909" s="145" t="s">
        <v>1452</v>
      </c>
      <c r="C909" s="143">
        <f>HLOOKUP("start",ESLData!E$1:E$9960,MATCH($A909,ESLData!$B$1:$B$9960,0))</f>
        <v>0</v>
      </c>
      <c r="E909" s="143">
        <f>HLOOKUP("start",ESLData!F$1:F$9960,MATCH($A909,ESLData!$B$1:$B$9960,0))</f>
        <v>0</v>
      </c>
      <c r="G909" s="143">
        <f>HLOOKUP("start",ESLData!H$1:H$9960,MATCH($A909,ESLData!$B$1:$B$9960,0))</f>
        <v>0</v>
      </c>
      <c r="J909" s="156" t="s">
        <v>987</v>
      </c>
      <c r="K909" s="142" t="str">
        <f>IF(ISNA(HLOOKUP("start",ESLData!C$1:C$9960,MATCH($A909,ESLData!$B$1:$B$9960,0))),"",HLOOKUP("start",ESLData!C$1:C$9960,MATCH($A909,ESLData!$B$1:$B$9960,0)))</f>
        <v>Courier</v>
      </c>
    </row>
    <row r="910" spans="1:11" ht="14.25" customHeight="1" x14ac:dyDescent="0.2">
      <c r="A910" s="145" t="s">
        <v>1453</v>
      </c>
      <c r="C910" s="143">
        <f>HLOOKUP("start",ESLData!E$1:E$9960,MATCH($A910,ESLData!$B$1:$B$9960,0))</f>
        <v>0</v>
      </c>
      <c r="E910" s="143">
        <f>HLOOKUP("start",ESLData!F$1:F$9960,MATCH($A910,ESLData!$B$1:$B$9960,0))</f>
        <v>0</v>
      </c>
      <c r="G910" s="143">
        <f>HLOOKUP("start",ESLData!H$1:H$9960,MATCH($A910,ESLData!$B$1:$B$9960,0))</f>
        <v>0</v>
      </c>
      <c r="J910" s="156" t="s">
        <v>987</v>
      </c>
      <c r="K910" s="142" t="str">
        <f>IF(ISNA(HLOOKUP("start",ESLData!C$1:C$9960,MATCH($A910,ESLData!$B$1:$B$9960,0))),"",HLOOKUP("start",ESLData!C$1:C$9960,MATCH($A910,ESLData!$B$1:$B$9960,0)))</f>
        <v>Postage</v>
      </c>
    </row>
    <row r="911" spans="1:11" ht="14.25" customHeight="1" x14ac:dyDescent="0.2">
      <c r="A911" s="144">
        <v>35300</v>
      </c>
      <c r="C911" s="143">
        <f>HLOOKUP("start",ESLData!E$1:E$9960,MATCH($A911,ESLData!$B$1:$B$9960,0))</f>
        <v>423.21</v>
      </c>
      <c r="E911" s="143">
        <f>HLOOKUP("start",ESLData!F$1:F$9960,MATCH($A911,ESLData!$B$1:$B$9960,0))</f>
        <v>650</v>
      </c>
      <c r="G911" s="143">
        <f>HLOOKUP("start",ESLData!H$1:H$9960,MATCH($A911,ESLData!$B$1:$B$9960,0))</f>
        <v>591.11</v>
      </c>
      <c r="I911" s="152"/>
      <c r="J911" s="156" t="s">
        <v>987</v>
      </c>
      <c r="K911" s="142" t="str">
        <f>IF(ISNA(HLOOKUP("start",ESLData!C$1:C$9960,MATCH($A911,ESLData!$B$1:$B$9960,0))),"",HLOOKUP("start",ESLData!C$1:C$9960,MATCH($A911,ESLData!$B$1:$B$9960,0)))</f>
        <v>Nelson - Postage</v>
      </c>
    </row>
    <row r="912" spans="1:11" ht="14.25" customHeight="1" x14ac:dyDescent="0.2">
      <c r="A912" s="144">
        <v>35600</v>
      </c>
      <c r="C912" s="143">
        <f>HLOOKUP("start",ESLData!E$1:E$9960,MATCH($A912,ESLData!$B$1:$B$9960,0))</f>
        <v>127.06</v>
      </c>
      <c r="E912" s="143">
        <f>HLOOKUP("start",ESLData!F$1:F$9960,MATCH($A912,ESLData!$B$1:$B$9960,0))</f>
        <v>300</v>
      </c>
      <c r="G912" s="143">
        <f>HLOOKUP("start",ESLData!H$1:H$9960,MATCH($A912,ESLData!$B$1:$B$9960,0))</f>
        <v>241.1</v>
      </c>
      <c r="I912" s="146"/>
      <c r="J912" s="156" t="s">
        <v>987</v>
      </c>
      <c r="K912" s="142" t="str">
        <f>IF(ISNA(HLOOKUP("start",ESLData!C$1:C$9960,MATCH($A912,ESLData!$B$1:$B$9960,0))),"",HLOOKUP("start",ESLData!C$1:C$9960,MATCH($A912,ESLData!$B$1:$B$9960,0)))</f>
        <v>Southland - Postage</v>
      </c>
    </row>
    <row r="913" spans="1:11" ht="14.25" customHeight="1" x14ac:dyDescent="0.2">
      <c r="A913" s="144">
        <v>35865</v>
      </c>
      <c r="C913" s="143">
        <f>HLOOKUP("start",ESLData!E$1:E$9960,MATCH($A913,ESLData!$B$1:$B$9960,0))</f>
        <v>0</v>
      </c>
      <c r="E913" s="143">
        <f>HLOOKUP("start",ESLData!F$1:F$9960,MATCH($A913,ESLData!$B$1:$B$9960,0))</f>
        <v>50</v>
      </c>
      <c r="G913" s="143">
        <f>HLOOKUP("start",ESLData!H$1:H$9960,MATCH($A913,ESLData!$B$1:$B$9960,0))</f>
        <v>0</v>
      </c>
      <c r="I913" s="146"/>
      <c r="J913" s="156" t="s">
        <v>987</v>
      </c>
      <c r="K913" s="142" t="str">
        <f>IF(ISNA(HLOOKUP("start",ESLData!C$1:C$9960,MATCH($A913,ESLData!$B$1:$B$9960,0))),"",HLOOKUP("start",ESLData!C$1:C$9960,MATCH($A913,ESLData!$B$1:$B$9960,0)))</f>
        <v>Postage / Courier</v>
      </c>
    </row>
    <row r="914" spans="1:11" ht="14.25" customHeight="1" x14ac:dyDescent="0.2">
      <c r="A914" s="144">
        <v>36013</v>
      </c>
      <c r="C914" s="143">
        <f>HLOOKUP("start",ESLData!E$1:E$9960,MATCH($A914,ESLData!$B$1:$B$9960,0))</f>
        <v>0</v>
      </c>
      <c r="E914" s="143">
        <f>HLOOKUP("start",ESLData!F$1:F$9960,MATCH($A914,ESLData!$B$1:$B$9960,0))</f>
        <v>0</v>
      </c>
      <c r="G914" s="143">
        <f>HLOOKUP("start",ESLData!H$1:H$9960,MATCH($A914,ESLData!$B$1:$B$9960,0))</f>
        <v>0</v>
      </c>
      <c r="I914" s="146"/>
      <c r="J914" s="156" t="s">
        <v>987</v>
      </c>
      <c r="K914" s="142" t="str">
        <f>IF(ISNA(HLOOKUP("start",ESLData!C$1:C$9960,MATCH($A914,ESLData!$B$1:$B$9960,0))),"",HLOOKUP("start",ESLData!C$1:C$9960,MATCH($A914,ESLData!$B$1:$B$9960,0)))</f>
        <v>BELS - Recruitment</v>
      </c>
    </row>
    <row r="915" spans="1:11" ht="14.25" customHeight="1" x14ac:dyDescent="0.2">
      <c r="A915" s="144">
        <v>36021</v>
      </c>
      <c r="C915" s="143">
        <f>HLOOKUP("start",ESLData!E$1:E$9960,MATCH($A915,ESLData!$B$1:$B$9960,0))</f>
        <v>24.88</v>
      </c>
      <c r="E915" s="143">
        <f>HLOOKUP("start",ESLData!F$1:F$9960,MATCH($A915,ESLData!$B$1:$B$9960,0))</f>
        <v>200</v>
      </c>
      <c r="G915" s="143">
        <f>HLOOKUP("start",ESLData!H$1:H$9960,MATCH($A915,ESLData!$B$1:$B$9960,0))</f>
        <v>41.34</v>
      </c>
      <c r="I915" s="146"/>
      <c r="J915" s="156" t="s">
        <v>987</v>
      </c>
      <c r="K915" s="142" t="str">
        <f>IF(ISNA(HLOOKUP("start",ESLData!C$1:C$9960,MATCH($A915,ESLData!$B$1:$B$9960,0))),"",HLOOKUP("start",ESLData!C$1:C$9960,MATCH($A915,ESLData!$B$1:$B$9960,0)))</f>
        <v>Postage</v>
      </c>
    </row>
    <row r="916" spans="1:11" ht="14.25" customHeight="1" x14ac:dyDescent="0.2">
      <c r="A916" s="144">
        <v>37000</v>
      </c>
      <c r="C916" s="143">
        <f>HLOOKUP("start",ESLData!E$1:E$9960,MATCH($A916,ESLData!$B$1:$B$9960,0))</f>
        <v>104.26</v>
      </c>
      <c r="E916" s="143">
        <f>HLOOKUP("start",ESLData!F$1:F$9960,MATCH($A916,ESLData!$B$1:$B$9960,0))</f>
        <v>500</v>
      </c>
      <c r="G916" s="143">
        <f>HLOOKUP("start",ESLData!H$1:H$9960,MATCH($A916,ESLData!$B$1:$B$9960,0))</f>
        <v>184.75</v>
      </c>
      <c r="J916" s="156" t="s">
        <v>987</v>
      </c>
      <c r="K916" s="142" t="str">
        <f>IF(ISNA(HLOOKUP("start",ESLData!C$1:C$9960,MATCH($A916,ESLData!$B$1:$B$9960,0))),"",HLOOKUP("start",ESLData!C$1:C$9960,MATCH($A916,ESLData!$B$1:$B$9960,0)))</f>
        <v>Courier Nas</v>
      </c>
    </row>
    <row r="917" spans="1:11" ht="14.25" customHeight="1" x14ac:dyDescent="0.2">
      <c r="A917" s="144">
        <v>37190</v>
      </c>
      <c r="C917" s="143">
        <f>HLOOKUP("start",ESLData!E$1:E$9960,MATCH($A917,ESLData!$B$1:$B$9960,0))</f>
        <v>607.51</v>
      </c>
      <c r="E917" s="143">
        <f>HLOOKUP("start",ESLData!F$1:F$9960,MATCH($A917,ESLData!$B$1:$B$9960,0))</f>
        <v>500</v>
      </c>
      <c r="G917" s="143">
        <f>HLOOKUP("start",ESLData!H$1:H$9960,MATCH($A917,ESLData!$B$1:$B$9960,0))</f>
        <v>433.54</v>
      </c>
      <c r="I917" s="146"/>
      <c r="J917" s="156" t="s">
        <v>987</v>
      </c>
      <c r="K917" s="142" t="str">
        <f>IF(ISNA(HLOOKUP("start",ESLData!C$1:C$9960,MATCH($A917,ESLData!$B$1:$B$9960,0))),"",HLOOKUP("start",ESLData!C$1:C$9960,MATCH($A917,ESLData!$B$1:$B$9960,0)))</f>
        <v>Postage</v>
      </c>
    </row>
    <row r="918" spans="1:11" ht="14.25" customHeight="1" x14ac:dyDescent="0.2">
      <c r="A918" s="144">
        <v>38320</v>
      </c>
      <c r="C918" s="143">
        <f>HLOOKUP("start",ESLData!E$1:E$9960,MATCH($A918,ESLData!$B$1:$B$9960,0))</f>
        <v>85.63</v>
      </c>
      <c r="E918" s="143">
        <f>HLOOKUP("start",ESLData!F$1:F$9960,MATCH($A918,ESLData!$B$1:$B$9960,0))</f>
        <v>0</v>
      </c>
      <c r="G918" s="143">
        <f>HLOOKUP("start",ESLData!H$1:H$9960,MATCH($A918,ESLData!$B$1:$B$9960,0))</f>
        <v>125.99</v>
      </c>
      <c r="I918" s="146"/>
      <c r="J918" s="156" t="s">
        <v>987</v>
      </c>
      <c r="K918" s="142" t="str">
        <f>IF(ISNA(HLOOKUP("start",ESLData!C$1:C$9960,MATCH($A918,ESLData!$B$1:$B$9960,0))),"",HLOOKUP("start",ESLData!C$1:C$9960,MATCH($A918,ESLData!$B$1:$B$9960,0)))</f>
        <v>Postage</v>
      </c>
    </row>
    <row r="919" spans="1:11" ht="14.25" customHeight="1" x14ac:dyDescent="0.2">
      <c r="A919" s="144">
        <v>38340</v>
      </c>
      <c r="C919" s="143">
        <f>HLOOKUP("start",ESLData!E$1:E$9960,MATCH($A919,ESLData!$B$1:$B$9960,0))</f>
        <v>0</v>
      </c>
      <c r="E919" s="143">
        <f>HLOOKUP("start",ESLData!F$1:F$9960,MATCH($A919,ESLData!$B$1:$B$9960,0))</f>
        <v>0</v>
      </c>
      <c r="G919" s="143">
        <f>HLOOKUP("start",ESLData!H$1:H$9960,MATCH($A919,ESLData!$B$1:$B$9960,0))</f>
        <v>0</v>
      </c>
      <c r="I919" s="146"/>
      <c r="J919" s="156" t="s">
        <v>987</v>
      </c>
      <c r="K919" s="142" t="str">
        <f>IF(ISNA(HLOOKUP("start",ESLData!C$1:C$9960,MATCH($A919,ESLData!$B$1:$B$9960,0))),"",HLOOKUP("start",ESLData!C$1:C$9960,MATCH($A919,ESLData!$B$1:$B$9960,0)))</f>
        <v>Stationery</v>
      </c>
    </row>
    <row r="920" spans="1:11" ht="14.25" customHeight="1" x14ac:dyDescent="0.2">
      <c r="A920" s="144">
        <v>38936</v>
      </c>
      <c r="C920" s="143">
        <f>HLOOKUP("start",ESLData!E$1:E$9960,MATCH($A920,ESLData!$B$1:$B$9960,0))</f>
        <v>293.52999999999997</v>
      </c>
      <c r="E920" s="143">
        <f>HLOOKUP("start",ESLData!F$1:F$9960,MATCH($A920,ESLData!$B$1:$B$9960,0))</f>
        <v>300</v>
      </c>
      <c r="G920" s="143">
        <f>HLOOKUP("start",ESLData!H$1:H$9960,MATCH($A920,ESLData!$B$1:$B$9960,0))</f>
        <v>127.11</v>
      </c>
      <c r="H920" s="146"/>
      <c r="I920" s="146"/>
      <c r="J920" s="156" t="s">
        <v>987</v>
      </c>
      <c r="K920" s="142" t="str">
        <f>IF(ISNA(HLOOKUP("start",ESLData!C$1:C$9960,MATCH($A920,ESLData!$B$1:$B$9960,0))),"",HLOOKUP("start",ESLData!C$1:C$9960,MATCH($A920,ESLData!$B$1:$B$9960,0)))</f>
        <v>Postage</v>
      </c>
    </row>
    <row r="921" spans="1:11" ht="14.25" customHeight="1" x14ac:dyDescent="0.2">
      <c r="A921" s="144">
        <v>39001</v>
      </c>
      <c r="C921" s="143">
        <f>HLOOKUP("start",ESLData!E$1:E$9960,MATCH($A921,ESLData!$B$1:$B$9960,0))</f>
        <v>511.27</v>
      </c>
      <c r="E921" s="143">
        <f>HLOOKUP("start",ESLData!F$1:F$9960,MATCH($A921,ESLData!$B$1:$B$9960,0))</f>
        <v>600</v>
      </c>
      <c r="G921" s="143">
        <f>HLOOKUP("start",ESLData!H$1:H$9960,MATCH($A921,ESLData!$B$1:$B$9960,0))</f>
        <v>433.75</v>
      </c>
      <c r="I921" s="146"/>
      <c r="J921" s="156" t="s">
        <v>987</v>
      </c>
      <c r="K921" s="142" t="str">
        <f>IF(ISNA(HLOOKUP("start",ESLData!C$1:C$9960,MATCH($A921,ESLData!$B$1:$B$9960,0))),"",HLOOKUP("start",ESLData!C$1:C$9960,MATCH($A921,ESLData!$B$1:$B$9960,0)))</f>
        <v>Hamilton - Postage</v>
      </c>
    </row>
    <row r="922" spans="1:11" ht="14.25" customHeight="1" x14ac:dyDescent="0.2">
      <c r="A922" s="144">
        <v>39051</v>
      </c>
      <c r="C922" s="143">
        <f>HLOOKUP("start",ESLData!E$1:E$9960,MATCH($A922,ESLData!$B$1:$B$9960,0))</f>
        <v>2487.2800000000002</v>
      </c>
      <c r="E922" s="143">
        <f>HLOOKUP("start",ESLData!F$1:F$9960,MATCH($A922,ESLData!$B$1:$B$9960,0))</f>
        <v>1500</v>
      </c>
      <c r="G922" s="143">
        <f>HLOOKUP("start",ESLData!H$1:H$9960,MATCH($A922,ESLData!$B$1:$B$9960,0))</f>
        <v>1360.9</v>
      </c>
      <c r="I922" s="146"/>
      <c r="J922" s="156" t="s">
        <v>987</v>
      </c>
      <c r="K922" s="142" t="str">
        <f>IF(ISNA(HLOOKUP("start",ESLData!C$1:C$9960,MATCH($A922,ESLData!$B$1:$B$9960,0))),"",HLOOKUP("start",ESLData!C$1:C$9960,MATCH($A922,ESLData!$B$1:$B$9960,0)))</f>
        <v>Christchurch - Postage</v>
      </c>
    </row>
    <row r="923" spans="1:11" ht="14.25" customHeight="1" x14ac:dyDescent="0.2">
      <c r="A923" s="144">
        <v>39101</v>
      </c>
      <c r="C923" s="143">
        <f>HLOOKUP("start",ESLData!E$1:E$9960,MATCH($A923,ESLData!$B$1:$B$9960,0))</f>
        <v>52.86</v>
      </c>
      <c r="E923" s="143">
        <f>HLOOKUP("start",ESLData!F$1:F$9960,MATCH($A923,ESLData!$B$1:$B$9960,0))</f>
        <v>500</v>
      </c>
      <c r="G923" s="143">
        <f>HLOOKUP("start",ESLData!H$1:H$9960,MATCH($A923,ESLData!$B$1:$B$9960,0))</f>
        <v>364.46</v>
      </c>
      <c r="I923" s="146"/>
      <c r="J923" s="156" t="s">
        <v>987</v>
      </c>
      <c r="K923" s="142" t="str">
        <f>IF(ISNA(HLOOKUP("start",ESLData!C$1:C$9960,MATCH($A923,ESLData!$B$1:$B$9960,0))),"",HLOOKUP("start",ESLData!C$1:C$9960,MATCH($A923,ESLData!$B$1:$B$9960,0)))</f>
        <v>Gisborne - Postage</v>
      </c>
    </row>
    <row r="924" spans="1:11" ht="14.25" customHeight="1" x14ac:dyDescent="0.2">
      <c r="A924" s="144">
        <v>39201</v>
      </c>
      <c r="C924" s="143">
        <f>HLOOKUP("start",ESLData!E$1:E$9960,MATCH($A924,ESLData!$B$1:$B$9960,0))</f>
        <v>139.66</v>
      </c>
      <c r="E924" s="143">
        <f>HLOOKUP("start",ESLData!F$1:F$9960,MATCH($A924,ESLData!$B$1:$B$9960,0))</f>
        <v>500</v>
      </c>
      <c r="G924" s="143">
        <f>HLOOKUP("start",ESLData!H$1:H$9960,MATCH($A924,ESLData!$B$1:$B$9960,0))</f>
        <v>396.34</v>
      </c>
      <c r="I924" s="146"/>
      <c r="J924" s="156" t="s">
        <v>987</v>
      </c>
      <c r="K924" s="142" t="str">
        <f>IF(ISNA(HLOOKUP("start",ESLData!C$1:C$9960,MATCH($A924,ESLData!$B$1:$B$9960,0))),"",HLOOKUP("start",ESLData!C$1:C$9960,MATCH($A924,ESLData!$B$1:$B$9960,0)))</f>
        <v>Napier - Postage</v>
      </c>
    </row>
    <row r="925" spans="1:11" ht="14.25" customHeight="1" x14ac:dyDescent="0.2">
      <c r="A925" s="144">
        <v>39251</v>
      </c>
      <c r="C925" s="143">
        <f>HLOOKUP("start",ESLData!E$1:E$9960,MATCH($A925,ESLData!$B$1:$B$9960,0))</f>
        <v>843.62</v>
      </c>
      <c r="E925" s="143">
        <f>HLOOKUP("start",ESLData!F$1:F$9960,MATCH($A925,ESLData!$B$1:$B$9960,0))</f>
        <v>800</v>
      </c>
      <c r="G925" s="143">
        <f>HLOOKUP("start",ESLData!H$1:H$9960,MATCH($A925,ESLData!$B$1:$B$9960,0))</f>
        <v>660.59</v>
      </c>
      <c r="I925" s="146"/>
      <c r="J925" s="156" t="s">
        <v>987</v>
      </c>
      <c r="K925" s="142" t="str">
        <f>IF(ISNA(HLOOKUP("start",ESLData!C$1:C$9960,MATCH($A925,ESLData!$B$1:$B$9960,0))),"",HLOOKUP("start",ESLData!C$1:C$9960,MATCH($A925,ESLData!$B$1:$B$9960,0)))</f>
        <v>PN - Postage</v>
      </c>
    </row>
    <row r="926" spans="1:11" ht="14.25" customHeight="1" x14ac:dyDescent="0.2">
      <c r="A926" s="144">
        <v>39301</v>
      </c>
      <c r="C926" s="143">
        <f>HLOOKUP("start",ESLData!E$1:E$9960,MATCH($A926,ESLData!$B$1:$B$9960,0))</f>
        <v>491.68</v>
      </c>
      <c r="E926" s="143">
        <f>HLOOKUP("start",ESLData!F$1:F$9960,MATCH($A926,ESLData!$B$1:$B$9960,0))</f>
        <v>1000</v>
      </c>
      <c r="G926" s="143">
        <f>HLOOKUP("start",ESLData!H$1:H$9960,MATCH($A926,ESLData!$B$1:$B$9960,0))</f>
        <v>619.54</v>
      </c>
      <c r="I926" s="146"/>
      <c r="J926" s="156" t="s">
        <v>987</v>
      </c>
      <c r="K926" s="142" t="str">
        <f>IF(ISNA(HLOOKUP("start",ESLData!C$1:C$9960,MATCH($A926,ESLData!$B$1:$B$9960,0))),"",HLOOKUP("start",ESLData!C$1:C$9960,MATCH($A926,ESLData!$B$1:$B$9960,0)))</f>
        <v>Tauranga - Postage</v>
      </c>
    </row>
    <row r="927" spans="1:11" ht="14.25" customHeight="1" x14ac:dyDescent="0.2">
      <c r="A927" s="144">
        <v>39351</v>
      </c>
      <c r="C927" s="143">
        <f>HLOOKUP("start",ESLData!E$1:E$9960,MATCH($A927,ESLData!$B$1:$B$9960,0))</f>
        <v>170.96</v>
      </c>
      <c r="E927" s="143">
        <f>HLOOKUP("start",ESLData!F$1:F$9960,MATCH($A927,ESLData!$B$1:$B$9960,0))</f>
        <v>350</v>
      </c>
      <c r="G927" s="143">
        <f>HLOOKUP("start",ESLData!H$1:H$9960,MATCH($A927,ESLData!$B$1:$B$9960,0))</f>
        <v>435.09</v>
      </c>
      <c r="I927" s="146"/>
      <c r="J927" s="156" t="s">
        <v>987</v>
      </c>
      <c r="K927" s="142" t="str">
        <f>IF(ISNA(HLOOKUP("start",ESLData!C$1:C$9960,MATCH($A927,ESLData!$B$1:$B$9960,0))),"",HLOOKUP("start",ESLData!C$1:C$9960,MATCH($A927,ESLData!$B$1:$B$9960,0)))</f>
        <v>Taranaki - Postage</v>
      </c>
    </row>
    <row r="928" spans="1:11" ht="14.25" customHeight="1" x14ac:dyDescent="0.2">
      <c r="A928" s="144">
        <v>39400</v>
      </c>
      <c r="C928" s="143">
        <f>HLOOKUP("start",ESLData!E$1:E$9960,MATCH($A928,ESLData!$B$1:$B$9960,0))</f>
        <v>225.78</v>
      </c>
      <c r="E928" s="143">
        <f>HLOOKUP("start",ESLData!F$1:F$9960,MATCH($A928,ESLData!$B$1:$B$9960,0))</f>
        <v>250</v>
      </c>
      <c r="G928" s="143">
        <f>HLOOKUP("start",ESLData!H$1:H$9960,MATCH($A928,ESLData!$B$1:$B$9960,0))</f>
        <v>266.7</v>
      </c>
      <c r="I928" s="146"/>
      <c r="J928" s="156" t="s">
        <v>987</v>
      </c>
      <c r="K928" s="142" t="str">
        <f>IF(ISNA(HLOOKUP("start",ESLData!C$1:C$9960,MATCH($A928,ESLData!$B$1:$B$9960,0))),"",HLOOKUP("start",ESLData!C$1:C$9960,MATCH($A928,ESLData!$B$1:$B$9960,0)))</f>
        <v>Otago - Postage</v>
      </c>
    </row>
    <row r="929" spans="1:13" ht="14.25" customHeight="1" x14ac:dyDescent="0.2">
      <c r="A929" s="144">
        <v>41014</v>
      </c>
      <c r="C929" s="143">
        <f>HLOOKUP("start",ESLData!E$1:E$9960,MATCH($A929,ESLData!$B$1:$B$9960,0))</f>
        <v>10253.36</v>
      </c>
      <c r="E929" s="143">
        <f>HLOOKUP("start",ESLData!F$1:F$9960,MATCH($A929,ESLData!$B$1:$B$9960,0))</f>
        <v>105000</v>
      </c>
      <c r="G929" s="143">
        <f>HLOOKUP("start",ESLData!H$1:H$9960,MATCH($A929,ESLData!$B$1:$B$9960,0))</f>
        <v>0</v>
      </c>
      <c r="I929" s="146"/>
      <c r="J929" s="156"/>
      <c r="K929" s="142" t="str">
        <f>IF(ISNA(HLOOKUP("start",ESLData!C$1:C$9960,MATCH($A929,ESLData!$B$1:$B$9960,0))),"",HLOOKUP("start",ESLData!C$1:C$9960,MATCH($A929,ESLData!$B$1:$B$9960,0)))</f>
        <v>Courier Costs</v>
      </c>
    </row>
    <row r="930" spans="1:13" ht="14.25" customHeight="1" x14ac:dyDescent="0.2">
      <c r="A930" s="144">
        <v>41015</v>
      </c>
      <c r="C930" s="143">
        <f>HLOOKUP("start",ESLData!E$1:E$9960,MATCH($A930,ESLData!$B$1:$B$9960,0))</f>
        <v>1465.58</v>
      </c>
      <c r="E930" s="143">
        <f>HLOOKUP("start",ESLData!F$1:F$9960,MATCH($A930,ESLData!$B$1:$B$9960,0))</f>
        <v>1680</v>
      </c>
      <c r="G930" s="143">
        <f>HLOOKUP("start",ESLData!H$1:H$9960,MATCH($A930,ESLData!$B$1:$B$9960,0))</f>
        <v>0</v>
      </c>
      <c r="I930" s="146"/>
      <c r="J930" s="156"/>
      <c r="K930" s="142" t="str">
        <f>IF(ISNA(HLOOKUP("start",ESLData!C$1:C$9960,MATCH($A930,ESLData!$B$1:$B$9960,0))),"",HLOOKUP("start",ESLData!C$1:C$9960,MATCH($A930,ESLData!$B$1:$B$9960,0)))</f>
        <v>Telecommunications</v>
      </c>
    </row>
    <row r="931" spans="1:13" ht="14.25" customHeight="1" x14ac:dyDescent="0.2">
      <c r="A931" s="144">
        <v>46220</v>
      </c>
      <c r="C931" s="143">
        <f>HLOOKUP("start",ESLData!E$1:E$9960,MATCH($A931,ESLData!$B$1:$B$9960,0))</f>
        <v>2909.41</v>
      </c>
      <c r="E931" s="143">
        <f>HLOOKUP("start",ESLData!F$1:F$9960,MATCH($A931,ESLData!$B$1:$B$9960,0))</f>
        <v>2500</v>
      </c>
      <c r="G931" s="143">
        <f>HLOOKUP("start",ESLData!H$1:H$9960,MATCH($A931,ESLData!$B$1:$B$9960,0))</f>
        <v>3383.15</v>
      </c>
      <c r="I931" s="146"/>
      <c r="J931" s="156" t="s">
        <v>987</v>
      </c>
      <c r="K931" s="142" t="str">
        <f>IF(ISNA(HLOOKUP("start",ESLData!C$1:C$9960,MATCH($A931,ESLData!$B$1:$B$9960,0))),"",HLOOKUP("start",ESLData!C$1:C$9960,MATCH($A931,ESLData!$B$1:$B$9960,0)))</f>
        <v>Courier</v>
      </c>
    </row>
    <row r="932" spans="1:13" ht="14.25" customHeight="1" x14ac:dyDescent="0.2">
      <c r="A932" s="144">
        <v>46240</v>
      </c>
      <c r="C932" s="143">
        <f>HLOOKUP("start",ESLData!E$1:E$9960,MATCH($A932,ESLData!$B$1:$B$9960,0))</f>
        <v>3841.02</v>
      </c>
      <c r="E932" s="143">
        <f>HLOOKUP("start",ESLData!F$1:F$9960,MATCH($A932,ESLData!$B$1:$B$9960,0))</f>
        <v>2500</v>
      </c>
      <c r="G932" s="143">
        <f>HLOOKUP("start",ESLData!H$1:H$9960,MATCH($A932,ESLData!$B$1:$B$9960,0))</f>
        <v>1864.28</v>
      </c>
      <c r="J932" s="156" t="s">
        <v>987</v>
      </c>
      <c r="K932" s="142" t="str">
        <f>IF(ISNA(HLOOKUP("start",ESLData!C$1:C$9960,MATCH($A932,ESLData!$B$1:$B$9960,0))),"",HLOOKUP("start",ESLData!C$1:C$9960,MATCH($A932,ESLData!$B$1:$B$9960,0)))</f>
        <v>Postage</v>
      </c>
    </row>
    <row r="933" spans="1:13" ht="14.25" customHeight="1" x14ac:dyDescent="0.2">
      <c r="A933" s="144">
        <v>46360</v>
      </c>
      <c r="C933" s="143">
        <f>HLOOKUP("start",ESLData!E$1:E$9960,MATCH($A933,ESLData!$B$1:$B$9960,0))</f>
        <v>547.97</v>
      </c>
      <c r="E933" s="143">
        <f>HLOOKUP("start",ESLData!F$1:F$9960,MATCH($A933,ESLData!$B$1:$B$9960,0))</f>
        <v>3500</v>
      </c>
      <c r="G933" s="143">
        <f>HLOOKUP("start",ESLData!H$1:H$9960,MATCH($A933,ESLData!$B$1:$B$9960,0))</f>
        <v>4856.03</v>
      </c>
      <c r="J933" s="156" t="s">
        <v>987</v>
      </c>
      <c r="K933" s="142" t="str">
        <f>IF(ISNA(HLOOKUP("start",ESLData!C$1:C$9960,MATCH($A933,ESLData!$B$1:$B$9960,0))),"",HLOOKUP("start",ESLData!C$1:C$9960,MATCH($A933,ESLData!$B$1:$B$9960,0)))</f>
        <v>Photocopying</v>
      </c>
    </row>
    <row r="934" spans="1:13" ht="14.25" customHeight="1" x14ac:dyDescent="0.2">
      <c r="A934" s="144">
        <v>46380</v>
      </c>
      <c r="C934" s="143">
        <f>HLOOKUP("start",ESLData!E$1:E$9960,MATCH($A934,ESLData!$B$1:$B$9960,0))</f>
        <v>0</v>
      </c>
      <c r="E934" s="143">
        <f>HLOOKUP("start",ESLData!F$1:F$9960,MATCH($A934,ESLData!$B$1:$B$9960,0))</f>
        <v>0</v>
      </c>
      <c r="G934" s="143">
        <f>HLOOKUP("start",ESLData!H$1:H$9960,MATCH($A934,ESLData!$B$1:$B$9960,0))</f>
        <v>165</v>
      </c>
      <c r="J934" s="156" t="s">
        <v>987</v>
      </c>
      <c r="K934" s="142" t="str">
        <f>IF(ISNA(HLOOKUP("start",ESLData!C$1:C$9960,MATCH($A934,ESLData!$B$1:$B$9960,0))),"",HLOOKUP("start",ESLData!C$1:C$9960,MATCH($A934,ESLData!$B$1:$B$9960,0)))</f>
        <v>R&amp;M - Office Equipment</v>
      </c>
    </row>
    <row r="935" spans="1:13" ht="14.25" customHeight="1" x14ac:dyDescent="0.2">
      <c r="A935" s="144">
        <v>46400</v>
      </c>
      <c r="C935" s="143">
        <f>HLOOKUP("start",ESLData!E$1:E$9960,MATCH($A935,ESLData!$B$1:$B$9960,0))</f>
        <v>5294.33</v>
      </c>
      <c r="D935" s="148"/>
      <c r="E935" s="143">
        <f>HLOOKUP("start",ESLData!F$1:F$9960,MATCH($A935,ESLData!$B$1:$B$9960,0))</f>
        <v>2500</v>
      </c>
      <c r="F935" s="148"/>
      <c r="G935" s="143">
        <f>HLOOKUP("start",ESLData!H$1:H$9960,MATCH($A935,ESLData!$B$1:$B$9960,0))</f>
        <v>4524.92</v>
      </c>
      <c r="H935" s="148"/>
      <c r="J935" s="156" t="s">
        <v>987</v>
      </c>
      <c r="K935" s="142" t="str">
        <f>IF(ISNA(HLOOKUP("start",ESLData!C$1:C$9960,MATCH($A935,ESLData!$B$1:$B$9960,0))),"",HLOOKUP("start",ESLData!C$1:C$9960,MATCH($A935,ESLData!$B$1:$B$9960,0)))</f>
        <v>Stationery/Printing</v>
      </c>
    </row>
    <row r="936" spans="1:13" ht="14.25" customHeight="1" x14ac:dyDescent="0.2">
      <c r="A936" s="144">
        <v>46401</v>
      </c>
      <c r="C936" s="143">
        <f>HLOOKUP("start",ESLData!E$1:E$9960,MATCH($A936,ESLData!$B$1:$B$9960,0))</f>
        <v>0</v>
      </c>
      <c r="D936" s="148"/>
      <c r="E936" s="143">
        <f>HLOOKUP("start",ESLData!F$1:F$9960,MATCH($A936,ESLData!$B$1:$B$9960,0))</f>
        <v>0</v>
      </c>
      <c r="F936" s="148"/>
      <c r="G936" s="143">
        <f>HLOOKUP("start",ESLData!H$1:H$9960,MATCH($A936,ESLData!$B$1:$B$9960,0))</f>
        <v>0</v>
      </c>
      <c r="H936" s="148"/>
      <c r="J936" s="156" t="s">
        <v>987</v>
      </c>
      <c r="K936" s="142" t="str">
        <f>IF(ISNA(HLOOKUP("start",ESLData!C$1:C$9960,MATCH($A936,ESLData!$B$1:$B$9960,0))),"",HLOOKUP("start",ESLData!C$1:C$9960,MATCH($A936,ESLData!$B$1:$B$9960,0)))</f>
        <v>Publications</v>
      </c>
    </row>
    <row r="937" spans="1:13" ht="14.25" customHeight="1" x14ac:dyDescent="0.2">
      <c r="A937" s="144">
        <v>46402</v>
      </c>
      <c r="C937" s="143">
        <f>HLOOKUP("start",ESLData!E$1:E$9960,MATCH($A937,ESLData!$B$1:$B$9960,0))</f>
        <v>1074.42</v>
      </c>
      <c r="E937" s="143">
        <f>HLOOKUP("start",ESLData!F$1:F$9960,MATCH($A937,ESLData!$B$1:$B$9960,0))</f>
        <v>1600</v>
      </c>
      <c r="G937" s="143">
        <f>HLOOKUP("start",ESLData!H$1:H$9960,MATCH($A937,ESLData!$B$1:$B$9960,0))</f>
        <v>1362.61</v>
      </c>
      <c r="J937" s="156" t="s">
        <v>987</v>
      </c>
      <c r="K937" s="142" t="str">
        <f>IF(ISNA(HLOOKUP("start",ESLData!C$1:C$9960,MATCH($A937,ESLData!$B$1:$B$9960,0))),"",HLOOKUP("start",ESLData!C$1:C$9960,MATCH($A937,ESLData!$B$1:$B$9960,0)))</f>
        <v>Subscriptions</v>
      </c>
    </row>
    <row r="938" spans="1:13" ht="14.25" customHeight="1" x14ac:dyDescent="0.2">
      <c r="A938" s="144">
        <v>46520</v>
      </c>
      <c r="C938" s="143">
        <f>HLOOKUP("start",ESLData!E$1:E$9960,MATCH($A938,ESLData!$B$1:$B$9960,0))</f>
        <v>0</v>
      </c>
      <c r="E938" s="143">
        <f>HLOOKUP("start",ESLData!F$1:F$9960,MATCH($A938,ESLData!$B$1:$B$9960,0))</f>
        <v>0</v>
      </c>
      <c r="G938" s="143">
        <f>HLOOKUP("start",ESLData!H$1:H$9960,MATCH($A938,ESLData!$B$1:$B$9960,0))</f>
        <v>0</v>
      </c>
      <c r="J938" s="156" t="s">
        <v>987</v>
      </c>
      <c r="K938" s="142" t="str">
        <f>IF(ISNA(HLOOKUP("start",ESLData!C$1:C$9960,MATCH($A938,ESLData!$B$1:$B$9960,0))),"",HLOOKUP("start",ESLData!C$1:C$9960,MATCH($A938,ESLData!$B$1:$B$9960,0)))</f>
        <v>Bank Charges</v>
      </c>
    </row>
    <row r="939" spans="1:13" ht="14.25" customHeight="1" x14ac:dyDescent="0.2">
      <c r="A939" s="144">
        <v>46560</v>
      </c>
      <c r="C939" s="143">
        <f>HLOOKUP("start",ESLData!E$1:E$9960,MATCH($A939,ESLData!$B$1:$B$9960,0))</f>
        <v>0</v>
      </c>
      <c r="E939" s="143">
        <f>HLOOKUP("start",ESLData!F$1:F$9960,MATCH($A939,ESLData!$B$1:$B$9960,0))</f>
        <v>0</v>
      </c>
      <c r="G939" s="143">
        <f>HLOOKUP("start",ESLData!H$1:H$9960,MATCH($A939,ESLData!$B$1:$B$9960,0))</f>
        <v>0</v>
      </c>
      <c r="J939" s="156" t="s">
        <v>987</v>
      </c>
      <c r="K939" s="142" t="str">
        <f>IF(ISNA(HLOOKUP("start",ESLData!C$1:C$9960,MATCH($A939,ESLData!$B$1:$B$9960,0))),"",HLOOKUP("start",ESLData!C$1:C$9960,MATCH($A939,ESLData!$B$1:$B$9960,0)))</f>
        <v>General</v>
      </c>
    </row>
    <row r="940" spans="1:13" ht="14.25" customHeight="1" x14ac:dyDescent="0.2">
      <c r="A940" s="144">
        <v>46570</v>
      </c>
      <c r="C940" s="143">
        <f>HLOOKUP("start",ESLData!E$1:E$9960,MATCH($A940,ESLData!$B$1:$B$9960,0))</f>
        <v>0</v>
      </c>
      <c r="D940" s="148"/>
      <c r="E940" s="143">
        <f>HLOOKUP("start",ESLData!F$1:F$9960,MATCH($A940,ESLData!$B$1:$B$9960,0))</f>
        <v>0</v>
      </c>
      <c r="F940" s="148"/>
      <c r="G940" s="143">
        <f>HLOOKUP("start",ESLData!H$1:H$9960,MATCH($A940,ESLData!$B$1:$B$9960,0))</f>
        <v>0</v>
      </c>
      <c r="H940" s="148"/>
      <c r="J940" s="156" t="s">
        <v>987</v>
      </c>
      <c r="K940" s="142" t="str">
        <f>IF(ISNA(HLOOKUP("start",ESLData!C$1:C$9960,MATCH($A940,ESLData!$B$1:$B$9960,0))),"",HLOOKUP("start",ESLData!C$1:C$9960,MATCH($A940,ESLData!$B$1:$B$9960,0)))</f>
        <v>Expenses - Furn Grant New Scho</v>
      </c>
    </row>
    <row r="941" spans="1:13" ht="14.25" customHeight="1" x14ac:dyDescent="0.2">
      <c r="A941" s="144">
        <v>46575</v>
      </c>
      <c r="C941" s="143">
        <f>HLOOKUP("start",ESLData!E$1:E$9960,MATCH($A941,ESLData!$B$1:$B$9960,0))</f>
        <v>0</v>
      </c>
      <c r="D941" s="148"/>
      <c r="E941" s="143">
        <f>HLOOKUP("start",ESLData!F$1:F$9960,MATCH($A941,ESLData!$B$1:$B$9960,0))</f>
        <v>0</v>
      </c>
      <c r="F941" s="148"/>
      <c r="G941" s="143">
        <f>HLOOKUP("start",ESLData!H$1:H$9960,MATCH($A941,ESLData!$B$1:$B$9960,0))</f>
        <v>0</v>
      </c>
      <c r="H941" s="148"/>
      <c r="J941" s="156" t="s">
        <v>987</v>
      </c>
      <c r="K941" s="142" t="str">
        <f>IF(ISNA(HLOOKUP("start",ESLData!C$1:C$9960,MATCH($A941,ESLData!$B$1:$B$9960,0))),"",HLOOKUP("start",ESLData!C$1:C$9960,MATCH($A941,ESLData!$B$1:$B$9960,0)))</f>
        <v>New School Expenses</v>
      </c>
    </row>
    <row r="942" spans="1:13" ht="14.25" customHeight="1" x14ac:dyDescent="0.2">
      <c r="A942" s="144">
        <v>46640</v>
      </c>
      <c r="C942" s="143">
        <f>HLOOKUP("start",ESLData!E$1:E$9960,MATCH($A942,ESLData!$B$1:$B$9960,0))</f>
        <v>31562.84</v>
      </c>
      <c r="E942" s="143">
        <f>HLOOKUP("start",ESLData!F$1:F$9960,MATCH($A942,ESLData!$B$1:$B$9960,0))</f>
        <v>20000</v>
      </c>
      <c r="G942" s="143">
        <f>HLOOKUP("start",ESLData!H$1:H$9960,MATCH($A942,ESLData!$B$1:$B$9960,0))</f>
        <v>18821.57</v>
      </c>
      <c r="J942" s="156" t="s">
        <v>987</v>
      </c>
      <c r="K942" s="142" t="str">
        <f>IF(ISNA(HLOOKUP("start",ESLData!C$1:C$9960,MATCH($A942,ESLData!$B$1:$B$9960,0))),"",HLOOKUP("start",ESLData!C$1:C$9960,MATCH($A942,ESLData!$B$1:$B$9960,0)))</f>
        <v>Principals Expenses</v>
      </c>
    </row>
    <row r="943" spans="1:13" ht="14.25" customHeight="1" x14ac:dyDescent="0.2">
      <c r="A943" s="144">
        <v>46650</v>
      </c>
      <c r="C943" s="143">
        <f>HLOOKUP("start",ESLData!E$1:E$9960,MATCH($A943,ESLData!$B$1:$B$9960,0))</f>
        <v>0</v>
      </c>
      <c r="E943" s="143">
        <f>HLOOKUP("start",ESLData!F$1:F$9960,MATCH($A943,ESLData!$B$1:$B$9960,0))</f>
        <v>0</v>
      </c>
      <c r="G943" s="143">
        <f>HLOOKUP("start",ESLData!H$1:H$9960,MATCH($A943,ESLData!$B$1:$B$9960,0))</f>
        <v>0</v>
      </c>
      <c r="J943" s="156" t="s">
        <v>987</v>
      </c>
      <c r="K943" s="142" t="str">
        <f>IF(ISNA(HLOOKUP("start",ESLData!C$1:C$9960,MATCH($A943,ESLData!$B$1:$B$9960,0))),"",HLOOKUP("start",ESLData!C$1:C$9960,MATCH($A943,ESLData!$B$1:$B$9960,0)))</f>
        <v>On-Line Charges</v>
      </c>
    </row>
    <row r="944" spans="1:13" ht="14.25" customHeight="1" x14ac:dyDescent="0.2">
      <c r="A944" s="144">
        <v>46670</v>
      </c>
      <c r="C944" s="143">
        <f>HLOOKUP("start",ESLData!E$1:E$9960,MATCH($A944,ESLData!$B$1:$B$9960,0))</f>
        <v>293.52</v>
      </c>
      <c r="E944" s="143">
        <f>HLOOKUP("start",ESLData!F$1:F$9960,MATCH($A944,ESLData!$B$1:$B$9960,0))</f>
        <v>0</v>
      </c>
      <c r="G944" s="143">
        <f>HLOOKUP("start",ESLData!H$1:H$9960,MATCH($A944,ESLData!$B$1:$B$9960,0))</f>
        <v>0</v>
      </c>
      <c r="J944" s="156" t="s">
        <v>987</v>
      </c>
      <c r="K944" s="142" t="str">
        <f>IF(ISNA(HLOOKUP("start",ESLData!C$1:C$9960,MATCH($A944,ESLData!$B$1:$B$9960,0))),"",HLOOKUP("start",ESLData!C$1:C$9960,MATCH($A944,ESLData!$B$1:$B$9960,0)))</f>
        <v>Sector Forums</v>
      </c>
      <c r="M944" s="146" t="s">
        <v>781</v>
      </c>
    </row>
    <row r="945" spans="1:11" ht="14.25" customHeight="1" x14ac:dyDescent="0.2">
      <c r="A945" s="144">
        <v>46680</v>
      </c>
      <c r="C945" s="143">
        <f>HLOOKUP("start",ESLData!E$1:E$9960,MATCH($A945,ESLData!$B$1:$B$9960,0))</f>
        <v>0</v>
      </c>
      <c r="E945" s="143">
        <f>HLOOKUP("start",ESLData!F$1:F$9960,MATCH($A945,ESLData!$B$1:$B$9960,0))</f>
        <v>0</v>
      </c>
      <c r="G945" s="143">
        <f>HLOOKUP("start",ESLData!H$1:H$9960,MATCH($A945,ESLData!$B$1:$B$9960,0))</f>
        <v>0</v>
      </c>
      <c r="J945" s="156" t="s">
        <v>987</v>
      </c>
      <c r="K945" s="142" t="str">
        <f>IF(ISNA(HLOOKUP("start",ESLData!C$1:C$9960,MATCH($A945,ESLData!$B$1:$B$9960,0))),"",HLOOKUP("start",ESLData!C$1:C$9960,MATCH($A945,ESLData!$B$1:$B$9960,0)))</f>
        <v>Communication Strategy</v>
      </c>
    </row>
    <row r="946" spans="1:11" ht="14.25" customHeight="1" x14ac:dyDescent="0.2">
      <c r="A946" s="144">
        <v>46685</v>
      </c>
      <c r="C946" s="143">
        <f>HLOOKUP("start",ESLData!E$1:E$9960,MATCH($A946,ESLData!$B$1:$B$9960,0))</f>
        <v>3117.14</v>
      </c>
      <c r="D946" s="148"/>
      <c r="E946" s="143">
        <f>HLOOKUP("start",ESLData!F$1:F$9960,MATCH($A946,ESLData!$B$1:$B$9960,0))</f>
        <v>3000</v>
      </c>
      <c r="F946" s="148"/>
      <c r="G946" s="143">
        <f>HLOOKUP("start",ESLData!H$1:H$9960,MATCH($A946,ESLData!$B$1:$B$9960,0))</f>
        <v>4455.24</v>
      </c>
      <c r="H946" s="148"/>
      <c r="J946" s="156" t="s">
        <v>987</v>
      </c>
      <c r="K946" s="142" t="str">
        <f>IF(ISNA(HLOOKUP("start",ESLData!C$1:C$9960,MATCH($A946,ESLData!$B$1:$B$9960,0))),"",HLOOKUP("start",ESLData!C$1:C$9960,MATCH($A946,ESLData!$B$1:$B$9960,0)))</f>
        <v>Senior Management Team Expense</v>
      </c>
    </row>
    <row r="947" spans="1:11" ht="14.25" customHeight="1" x14ac:dyDescent="0.2">
      <c r="A947" s="144">
        <v>46690</v>
      </c>
      <c r="C947" s="143">
        <f>HLOOKUP("start",ESLData!E$1:E$9960,MATCH($A947,ESLData!$B$1:$B$9960,0))</f>
        <v>1539.33</v>
      </c>
      <c r="D947" s="148"/>
      <c r="E947" s="143">
        <f>HLOOKUP("start",ESLData!F$1:F$9960,MATCH($A947,ESLData!$B$1:$B$9960,0))</f>
        <v>1500</v>
      </c>
      <c r="F947" s="148"/>
      <c r="G947" s="143">
        <f>HLOOKUP("start",ESLData!H$1:H$9960,MATCH($A947,ESLData!$B$1:$B$9960,0))</f>
        <v>3285.32</v>
      </c>
      <c r="H947" s="148"/>
      <c r="J947" s="156" t="s">
        <v>987</v>
      </c>
      <c r="K947" s="142" t="str">
        <f>IF(ISNA(HLOOKUP("start",ESLData!C$1:C$9960,MATCH($A947,ESLData!$B$1:$B$9960,0))),"",HLOOKUP("start",ESLData!C$1:C$9960,MATCH($A947,ESLData!$B$1:$B$9960,0)))</f>
        <v>Health &amp; Safety</v>
      </c>
    </row>
    <row r="948" spans="1:11" ht="14.25" customHeight="1" x14ac:dyDescent="0.2">
      <c r="A948" s="144">
        <v>46691</v>
      </c>
      <c r="C948" s="143">
        <f>HLOOKUP("start",ESLData!E$1:E$9960,MATCH($A948,ESLData!$B$1:$B$9960,0))</f>
        <v>0</v>
      </c>
      <c r="E948" s="143">
        <f>HLOOKUP("start",ESLData!F$1:F$9960,MATCH($A948,ESLData!$B$1:$B$9960,0))</f>
        <v>0</v>
      </c>
      <c r="G948" s="143">
        <f>HLOOKUP("start",ESLData!H$1:H$9960,MATCH($A948,ESLData!$B$1:$B$9960,0))</f>
        <v>0</v>
      </c>
      <c r="I948" s="146"/>
      <c r="J948" s="156" t="s">
        <v>987</v>
      </c>
      <c r="K948" s="142" t="str">
        <f>IF(ISNA(HLOOKUP("start",ESLData!C$1:C$9960,MATCH($A948,ESLData!$B$1:$B$9960,0))),"",HLOOKUP("start",ESLData!C$1:C$9960,MATCH($A948,ESLData!$B$1:$B$9960,0)))</f>
        <v>H&amp;S Wellbeing Committee</v>
      </c>
    </row>
    <row r="949" spans="1:11" ht="14.25" customHeight="1" x14ac:dyDescent="0.2">
      <c r="A949" s="144">
        <v>46760</v>
      </c>
      <c r="C949" s="143">
        <f>HLOOKUP("start",ESLData!E$1:E$9960,MATCH($A949,ESLData!$B$1:$B$9960,0))</f>
        <v>400</v>
      </c>
      <c r="E949" s="143">
        <f>HLOOKUP("start",ESLData!F$1:F$9960,MATCH($A949,ESLData!$B$1:$B$9960,0))</f>
        <v>400</v>
      </c>
      <c r="G949" s="143">
        <f>HLOOKUP("start",ESLData!H$1:H$9960,MATCH($A949,ESLData!$B$1:$B$9960,0))</f>
        <v>615.5</v>
      </c>
      <c r="I949" s="146"/>
      <c r="J949" s="156" t="s">
        <v>987</v>
      </c>
      <c r="K949" s="142" t="str">
        <f>IF(ISNA(HLOOKUP("start",ESLData!C$1:C$9960,MATCH($A949,ESLData!$B$1:$B$9960,0))),"",HLOOKUP("start",ESLData!C$1:C$9960,MATCH($A949,ESLData!$B$1:$B$9960,0)))</f>
        <v>Vehicle Leases</v>
      </c>
    </row>
    <row r="950" spans="1:11" ht="14.25" customHeight="1" x14ac:dyDescent="0.2">
      <c r="A950" s="144">
        <v>46765</v>
      </c>
      <c r="C950" s="143">
        <f>HLOOKUP("start",ESLData!E$1:E$9960,MATCH($A950,ESLData!$B$1:$B$9960,0))</f>
        <v>1099.0899999999999</v>
      </c>
      <c r="E950" s="143">
        <f>HLOOKUP("start",ESLData!F$1:F$9960,MATCH($A950,ESLData!$B$1:$B$9960,0))</f>
        <v>1060</v>
      </c>
      <c r="G950" s="143">
        <f>HLOOKUP("start",ESLData!H$1:H$9960,MATCH($A950,ESLData!$B$1:$B$9960,0))</f>
        <v>1060</v>
      </c>
      <c r="J950" s="156" t="s">
        <v>987</v>
      </c>
      <c r="K950" s="142" t="str">
        <f>IF(ISNA(HLOOKUP("start",ESLData!C$1:C$9960,MATCH($A950,ESLData!$B$1:$B$9960,0))),"",HLOOKUP("start",ESLData!C$1:C$9960,MATCH($A950,ESLData!$B$1:$B$9960,0)))</f>
        <v>Insurance</v>
      </c>
    </row>
    <row r="951" spans="1:11" ht="14.25" customHeight="1" x14ac:dyDescent="0.2">
      <c r="A951" s="144">
        <v>46770</v>
      </c>
      <c r="C951" s="143">
        <f>HLOOKUP("start",ESLData!E$1:E$9960,MATCH($A951,ESLData!$B$1:$B$9960,0))</f>
        <v>809.91</v>
      </c>
      <c r="E951" s="143">
        <f>HLOOKUP("start",ESLData!F$1:F$9960,MATCH($A951,ESLData!$B$1:$B$9960,0))</f>
        <v>300</v>
      </c>
      <c r="G951" s="143">
        <f>HLOOKUP("start",ESLData!H$1:H$9960,MATCH($A951,ESLData!$B$1:$B$9960,0))</f>
        <v>195.89</v>
      </c>
      <c r="J951" s="156" t="s">
        <v>987</v>
      </c>
      <c r="K951" s="142" t="str">
        <f>IF(ISNA(HLOOKUP("start",ESLData!C$1:C$9960,MATCH($A951,ESLData!$B$1:$B$9960,0))),"",HLOOKUP("start",ESLData!C$1:C$9960,MATCH($A951,ESLData!$B$1:$B$9960,0)))</f>
        <v>Petrol</v>
      </c>
    </row>
    <row r="952" spans="1:11" ht="14.25" customHeight="1" x14ac:dyDescent="0.2">
      <c r="A952" s="144">
        <v>46775</v>
      </c>
      <c r="C952" s="143">
        <f>HLOOKUP("start",ESLData!E$1:E$9960,MATCH($A952,ESLData!$B$1:$B$9960,0))</f>
        <v>0</v>
      </c>
      <c r="E952" s="143">
        <f>HLOOKUP("start",ESLData!F$1:F$9960,MATCH($A952,ESLData!$B$1:$B$9960,0))</f>
        <v>0</v>
      </c>
      <c r="G952" s="143">
        <f>HLOOKUP("start",ESLData!H$1:H$9960,MATCH($A952,ESLData!$B$1:$B$9960,0))</f>
        <v>0</v>
      </c>
      <c r="J952" s="156" t="s">
        <v>987</v>
      </c>
      <c r="K952" s="142" t="str">
        <f>IF(ISNA(HLOOKUP("start",ESLData!C$1:C$9960,MATCH($A952,ESLData!$B$1:$B$9960,0))),"",HLOOKUP("start",ESLData!C$1:C$9960,MATCH($A952,ESLData!$B$1:$B$9960,0)))</f>
        <v>Registration</v>
      </c>
    </row>
    <row r="953" spans="1:11" ht="14.25" customHeight="1" x14ac:dyDescent="0.2">
      <c r="A953" s="144">
        <v>46780</v>
      </c>
      <c r="C953" s="143">
        <f>HLOOKUP("start",ESLData!E$1:E$9960,MATCH($A953,ESLData!$B$1:$B$9960,0))</f>
        <v>0</v>
      </c>
      <c r="E953" s="143">
        <f>HLOOKUP("start",ESLData!F$1:F$9960,MATCH($A953,ESLData!$B$1:$B$9960,0))</f>
        <v>400</v>
      </c>
      <c r="G953" s="143">
        <f>HLOOKUP("start",ESLData!H$1:H$9960,MATCH($A953,ESLData!$B$1:$B$9960,0))</f>
        <v>0</v>
      </c>
      <c r="J953" s="156" t="s">
        <v>987</v>
      </c>
      <c r="K953" s="142" t="str">
        <f>IF(ISNA(HLOOKUP("start",ESLData!C$1:C$9960,MATCH($A953,ESLData!$B$1:$B$9960,0))),"",HLOOKUP("start",ESLData!C$1:C$9960,MATCH($A953,ESLData!$B$1:$B$9960,0)))</f>
        <v>Repairs &amp; Maintenance</v>
      </c>
    </row>
    <row r="954" spans="1:11" ht="14.25" customHeight="1" x14ac:dyDescent="0.2">
      <c r="A954" s="144">
        <v>46785</v>
      </c>
      <c r="C954" s="143">
        <f>HLOOKUP("start",ESLData!E$1:E$9960,MATCH($A954,ESLData!$B$1:$B$9960,0))</f>
        <v>195.2</v>
      </c>
      <c r="E954" s="143">
        <f>HLOOKUP("start",ESLData!F$1:F$9960,MATCH($A954,ESLData!$B$1:$B$9960,0))</f>
        <v>0</v>
      </c>
      <c r="G954" s="143">
        <f>HLOOKUP("start",ESLData!H$1:H$9960,MATCH($A954,ESLData!$B$1:$B$9960,0))</f>
        <v>106262.39999999999</v>
      </c>
      <c r="J954" s="156" t="s">
        <v>987</v>
      </c>
      <c r="K954" s="142" t="str">
        <f>IF(ISNA(HLOOKUP("start",ESLData!C$1:C$9960,MATCH($A954,ESLData!$B$1:$B$9960,0))),"",HLOOKUP("start",ESLData!C$1:C$9960,MATCH($A954,ESLData!$B$1:$B$9960,0)))</f>
        <v>Resource Mgmt Project</v>
      </c>
    </row>
    <row r="955" spans="1:11" ht="14.25" customHeight="1" x14ac:dyDescent="0.2">
      <c r="A955" s="144">
        <v>46786</v>
      </c>
      <c r="C955" s="143">
        <f>HLOOKUP("start",ESLData!E$1:E$9960,MATCH($A955,ESLData!$B$1:$B$9960,0))</f>
        <v>0</v>
      </c>
      <c r="D955" s="148"/>
      <c r="E955" s="143">
        <f>HLOOKUP("start",ESLData!F$1:F$9960,MATCH($A955,ESLData!$B$1:$B$9960,0))</f>
        <v>3000</v>
      </c>
      <c r="F955" s="148"/>
      <c r="G955" s="143">
        <f>HLOOKUP("start",ESLData!H$1:H$9960,MATCH($A955,ESLData!$B$1:$B$9960,0))</f>
        <v>0</v>
      </c>
      <c r="H955" s="148"/>
      <c r="J955" s="156" t="s">
        <v>987</v>
      </c>
      <c r="K955" s="142" t="str">
        <f>IF(ISNA(HLOOKUP("start",ESLData!C$1:C$9960,MATCH($A955,ESLData!$B$1:$B$9960,0))),"",HLOOKUP("start",ESLData!C$1:C$9960,MATCH($A955,ESLData!$B$1:$B$9960,0)))</f>
        <v>Accessability Consultation</v>
      </c>
    </row>
    <row r="956" spans="1:11" ht="14.25" customHeight="1" x14ac:dyDescent="0.2">
      <c r="A956" s="144">
        <v>46820</v>
      </c>
      <c r="C956" s="143">
        <f>HLOOKUP("start",ESLData!E$1:E$9960,MATCH($A956,ESLData!$B$1:$B$9960,0))</f>
        <v>239.96</v>
      </c>
      <c r="E956" s="143">
        <f>HLOOKUP("start",ESLData!F$1:F$9960,MATCH($A956,ESLData!$B$1:$B$9960,0))</f>
        <v>0</v>
      </c>
      <c r="G956" s="143">
        <f>HLOOKUP("start",ESLData!H$1:H$9960,MATCH($A956,ESLData!$B$1:$B$9960,0))</f>
        <v>513.99</v>
      </c>
      <c r="J956" s="156" t="s">
        <v>987</v>
      </c>
      <c r="K956" s="142" t="str">
        <f>IF(ISNA(HLOOKUP("start",ESLData!C$1:C$9960,MATCH($A956,ESLData!$B$1:$B$9960,0))),"",HLOOKUP("start",ESLData!C$1:C$9960,MATCH($A956,ESLData!$B$1:$B$9960,0)))</f>
        <v>Recruitment - Admin Staff</v>
      </c>
    </row>
    <row r="957" spans="1:11" ht="14.25" customHeight="1" x14ac:dyDescent="0.2">
      <c r="A957" s="144">
        <v>62000</v>
      </c>
      <c r="C957" s="143">
        <f>HLOOKUP("start",ESLData!E$1:E$9960,MATCH($A957,ESLData!$B$1:$B$9960,0))</f>
        <v>193.6</v>
      </c>
      <c r="E957" s="143">
        <f>HLOOKUP("start",ESLData!F$1:F$9960,MATCH($A957,ESLData!$B$1:$B$9960,0))</f>
        <v>300</v>
      </c>
      <c r="G957" s="143">
        <f>HLOOKUP("start",ESLData!H$1:H$9960,MATCH($A957,ESLData!$B$1:$B$9960,0))</f>
        <v>253.53</v>
      </c>
      <c r="J957" s="156" t="s">
        <v>987</v>
      </c>
      <c r="K957" s="142" t="str">
        <f>IF(ISNA(HLOOKUP("start",ESLData!C$1:C$9960,MATCH($A957,ESLData!$B$1:$B$9960,0))),"",HLOOKUP("start",ESLData!C$1:C$9960,MATCH($A957,ESLData!$B$1:$B$9960,0)))</f>
        <v>Auck South - Courier</v>
      </c>
    </row>
    <row r="958" spans="1:11" ht="14.25" customHeight="1" x14ac:dyDescent="0.2">
      <c r="A958" s="144">
        <v>62050</v>
      </c>
      <c r="C958" s="143">
        <f>HLOOKUP("start",ESLData!E$1:E$9960,MATCH($A958,ESLData!$B$1:$B$9960,0))</f>
        <v>94.81</v>
      </c>
      <c r="E958" s="143">
        <f>HLOOKUP("start",ESLData!F$1:F$9960,MATCH($A958,ESLData!$B$1:$B$9960,0))</f>
        <v>200</v>
      </c>
      <c r="G958" s="143">
        <f>HLOOKUP("start",ESLData!H$1:H$9960,MATCH($A958,ESLData!$B$1:$B$9960,0))</f>
        <v>5.22</v>
      </c>
      <c r="J958" s="156" t="s">
        <v>987</v>
      </c>
      <c r="K958" s="142" t="str">
        <f>IF(ISNA(HLOOKUP("start",ESLData!C$1:C$9960,MATCH($A958,ESLData!$B$1:$B$9960,0))),"",HLOOKUP("start",ESLData!C$1:C$9960,MATCH($A958,ESLData!$B$1:$B$9960,0)))</f>
        <v>Auck South - Postage</v>
      </c>
    </row>
    <row r="959" spans="1:11" ht="14.25" customHeight="1" x14ac:dyDescent="0.2">
      <c r="A959" s="144">
        <v>63000</v>
      </c>
      <c r="C959" s="143">
        <f>HLOOKUP("start",ESLData!E$1:E$9960,MATCH($A959,ESLData!$B$1:$B$9960,0))</f>
        <v>384.37</v>
      </c>
      <c r="D959" s="148"/>
      <c r="E959" s="143">
        <f>HLOOKUP("start",ESLData!F$1:F$9960,MATCH($A959,ESLData!$B$1:$B$9960,0))</f>
        <v>200</v>
      </c>
      <c r="F959" s="148"/>
      <c r="G959" s="143">
        <f>HLOOKUP("start",ESLData!H$1:H$9960,MATCH($A959,ESLData!$B$1:$B$9960,0))</f>
        <v>113.95</v>
      </c>
      <c r="H959" s="148"/>
      <c r="J959" s="156" t="s">
        <v>987</v>
      </c>
      <c r="K959" s="142" t="str">
        <f>IF(ISNA(HLOOKUP("start",ESLData!C$1:C$9960,MATCH($A959,ESLData!$B$1:$B$9960,0))),"",HLOOKUP("start",ESLData!C$1:C$9960,MATCH($A959,ESLData!$B$1:$B$9960,0)))</f>
        <v>Northland - Courier</v>
      </c>
    </row>
    <row r="960" spans="1:11" ht="14.25" customHeight="1" x14ac:dyDescent="0.2">
      <c r="A960" s="144">
        <v>63050</v>
      </c>
      <c r="C960" s="143">
        <f>HLOOKUP("start",ESLData!E$1:E$9960,MATCH($A960,ESLData!$B$1:$B$9960,0))</f>
        <v>217.39</v>
      </c>
      <c r="D960" s="162">
        <f>ROUND(SUM(C905:C960),0)</f>
        <v>72556</v>
      </c>
      <c r="E960" s="143">
        <f>HLOOKUP("start",ESLData!F$1:F$9960,MATCH($A960,ESLData!$B$1:$B$9960,0))</f>
        <v>400</v>
      </c>
      <c r="F960" s="155">
        <f>ROUND(SUM(E905:E960),0)</f>
        <v>159090</v>
      </c>
      <c r="G960" s="143">
        <f>HLOOKUP("start",ESLData!H$1:H$9960,MATCH($A960,ESLData!$B$1:$B$9960,0))</f>
        <v>349.14</v>
      </c>
      <c r="H960" s="162">
        <f>ROUND(SUM(G905:G960),0)</f>
        <v>159485</v>
      </c>
      <c r="J960" s="156" t="s">
        <v>987</v>
      </c>
      <c r="K960" s="142" t="str">
        <f>IF(ISNA(HLOOKUP("start",ESLData!C$1:C$9960,MATCH($A960,ESLData!$B$1:$B$9960,0))),"",HLOOKUP("start",ESLData!C$1:C$9960,MATCH($A960,ESLData!$B$1:$B$9960,0)))</f>
        <v>Northland - Postage</v>
      </c>
    </row>
    <row r="961" spans="1:11" ht="14.25" customHeight="1" x14ac:dyDescent="0.2">
      <c r="C961" s="143"/>
      <c r="E961" s="143"/>
      <c r="G961" s="143"/>
      <c r="J961" s="156" t="s">
        <v>987</v>
      </c>
      <c r="K961" s="142" t="str">
        <f>IF(ISNA(HLOOKUP("start",ESLData!C$1:C$9960,MATCH($A961,ESLData!$B$1:$B$9960,0))),"",HLOOKUP("start",ESLData!C$1:C$9960,MATCH($A961,ESLData!$B$1:$B$9960,0)))</f>
        <v/>
      </c>
    </row>
    <row r="962" spans="1:11" ht="14.25" customHeight="1" x14ac:dyDescent="0.2">
      <c r="A962" s="147" t="s">
        <v>418</v>
      </c>
      <c r="C962" s="143"/>
      <c r="E962" s="143"/>
      <c r="G962" s="143"/>
      <c r="J962" s="156" t="s">
        <v>987</v>
      </c>
      <c r="K962" s="142" t="str">
        <f>IF(ISNA(HLOOKUP("start",ESLData!C$1:C$9960,MATCH($A962,ESLData!$B$1:$B$9960,0))),"",HLOOKUP("start",ESLData!C$1:C$9960,MATCH($A962,ESLData!$B$1:$B$9960,0)))</f>
        <v/>
      </c>
    </row>
    <row r="963" spans="1:11" ht="14.25" customHeight="1" x14ac:dyDescent="0.2">
      <c r="A963" s="144">
        <v>38222</v>
      </c>
      <c r="C963" s="143">
        <f>HLOOKUP("start",ESLData!E$1:E$9960,MATCH($A963,ESLData!$B$1:$B$9960,0))</f>
        <v>6817</v>
      </c>
      <c r="E963" s="143">
        <f>HLOOKUP("start",ESLData!F$1:F$9960,MATCH($A963,ESLData!$B$1:$B$9960,0))</f>
        <v>7500</v>
      </c>
      <c r="G963" s="143">
        <f>HLOOKUP("start",ESLData!H$1:H$9960,MATCH($A963,ESLData!$B$1:$B$9960,0))</f>
        <v>6457.18</v>
      </c>
      <c r="J963" s="156" t="s">
        <v>987</v>
      </c>
      <c r="K963" s="142" t="str">
        <f>IF(ISNA(HLOOKUP("start",ESLData!C$1:C$9960,MATCH($A963,ESLData!$B$1:$B$9960,0))),"",HLOOKUP("start",ESLData!C$1:C$9960,MATCH($A963,ESLData!$B$1:$B$9960,0)))</f>
        <v>Salaries - Other</v>
      </c>
    </row>
    <row r="964" spans="1:11" ht="14.25" customHeight="1" x14ac:dyDescent="0.2">
      <c r="A964" s="144">
        <v>46800</v>
      </c>
      <c r="C964" s="143">
        <f>HLOOKUP("start",ESLData!E$1:E$9960,MATCH($A964,ESLData!$B$1:$B$9960,0))</f>
        <v>2510.9299999999998</v>
      </c>
      <c r="E964" s="143">
        <f>HLOOKUP("start",ESLData!F$1:F$9960,MATCH($A964,ESLData!$B$1:$B$9960,0))</f>
        <v>6550</v>
      </c>
      <c r="G964" s="143">
        <f>HLOOKUP("start",ESLData!H$1:H$9960,MATCH($A964,ESLData!$B$1:$B$9960,0))</f>
        <v>5736.82</v>
      </c>
      <c r="I964" s="146"/>
      <c r="J964" s="156" t="s">
        <v>987</v>
      </c>
      <c r="K964" s="142" t="str">
        <f>IF(ISNA(HLOOKUP("start",ESLData!C$1:C$9960,MATCH($A964,ESLData!$B$1:$B$9960,0))),"",HLOOKUP("start",ESLData!C$1:C$9960,MATCH($A964,ESLData!$B$1:$B$9960,0)))</f>
        <v>Acc Levy - Admin</v>
      </c>
    </row>
    <row r="965" spans="1:11" ht="14.25" customHeight="1" x14ac:dyDescent="0.2">
      <c r="A965" s="144">
        <v>46860</v>
      </c>
      <c r="C965" s="143">
        <f>HLOOKUP("start",ESLData!E$1:E$9960,MATCH($A965,ESLData!$B$1:$B$9960,0))</f>
        <v>276446.63</v>
      </c>
      <c r="E965" s="143">
        <f>HLOOKUP("start",ESLData!F$1:F$9960,MATCH($A965,ESLData!$B$1:$B$9960,0))</f>
        <v>259140</v>
      </c>
      <c r="G965" s="143">
        <f>HLOOKUP("start",ESLData!H$1:H$9960,MATCH($A965,ESLData!$B$1:$B$9960,0))</f>
        <v>261519.06</v>
      </c>
      <c r="J965" s="156" t="s">
        <v>987</v>
      </c>
      <c r="K965" s="142" t="str">
        <f>IF(ISNA(HLOOKUP("start",ESLData!C$1:C$9960,MATCH($A965,ESLData!$B$1:$B$9960,0))),"",HLOOKUP("start",ESLData!C$1:C$9960,MATCH($A965,ESLData!$B$1:$B$9960,0)))</f>
        <v>Salaries - Admin</v>
      </c>
    </row>
    <row r="966" spans="1:11" ht="14.25" customHeight="1" x14ac:dyDescent="0.2">
      <c r="A966" s="144">
        <v>46861</v>
      </c>
      <c r="C966" s="143">
        <f>HLOOKUP("start",ESLData!E$1:E$9960,MATCH($A966,ESLData!$B$1:$B$9960,0))</f>
        <v>0</v>
      </c>
      <c r="E966" s="143">
        <f>HLOOKUP("start",ESLData!F$1:F$9960,MATCH($A966,ESLData!$B$1:$B$9960,0))</f>
        <v>0</v>
      </c>
      <c r="G966" s="143">
        <f>HLOOKUP("start",ESLData!H$1:H$9960,MATCH($A966,ESLData!$B$1:$B$9960,0))</f>
        <v>0</v>
      </c>
      <c r="J966" s="156" t="s">
        <v>987</v>
      </c>
      <c r="K966" s="142" t="str">
        <f>IF(ISNA(HLOOKUP("start",ESLData!C$1:C$9960,MATCH($A966,ESLData!$B$1:$B$9960,0))),"",HLOOKUP("start",ESLData!C$1:C$9960,MATCH($A966,ESLData!$B$1:$B$9960,0)))</f>
        <v>Novopay leave adjustment</v>
      </c>
    </row>
    <row r="967" spans="1:11" ht="14.25" customHeight="1" x14ac:dyDescent="0.2">
      <c r="A967" s="144">
        <v>38940</v>
      </c>
      <c r="C967" s="143">
        <f>HLOOKUP("start",ESLData!E$1:E$9960,MATCH($A967,ESLData!$B$1:$B$9960,0))</f>
        <v>2758.73</v>
      </c>
      <c r="E967" s="143">
        <f>HLOOKUP("start",ESLData!F$1:F$9960,MATCH($A967,ESLData!$B$1:$B$9960,0))</f>
        <v>0</v>
      </c>
      <c r="G967" s="143">
        <f>HLOOKUP("start",ESLData!H$1:H$9960,MATCH($A967,ESLData!$B$1:$B$9960,0))</f>
        <v>13470.99</v>
      </c>
      <c r="I967" s="152"/>
      <c r="J967" s="156" t="s">
        <v>987</v>
      </c>
      <c r="K967" s="142" t="str">
        <f>IF(ISNA(HLOOKUP("start",ESLData!C$1:C$9960,MATCH($A967,ESLData!$B$1:$B$9960,0))),"",HLOOKUP("start",ESLData!C$1:C$9960,MATCH($A967,ESLData!$B$1:$B$9960,0)))</f>
        <v>Salaries - Admin Immersion</v>
      </c>
    </row>
    <row r="968" spans="1:11" ht="14.25" customHeight="1" x14ac:dyDescent="0.2">
      <c r="A968" s="144">
        <v>38221</v>
      </c>
      <c r="C968" s="143">
        <f>HLOOKUP("start",ESLData!E$1:E$9960,MATCH($A968,ESLData!$B$1:$B$9960,0))</f>
        <v>77497.42</v>
      </c>
      <c r="E968" s="143">
        <f>HLOOKUP("start",ESLData!F$1:F$9960,MATCH($A968,ESLData!$B$1:$B$9960,0))</f>
        <v>76162</v>
      </c>
      <c r="G968" s="143">
        <f>HLOOKUP("start",ESLData!H$1:H$9960,MATCH($A968,ESLData!$B$1:$B$9960,0))</f>
        <v>68307.37</v>
      </c>
      <c r="I968" s="152"/>
      <c r="J968" s="156" t="s">
        <v>987</v>
      </c>
      <c r="K968" s="142" t="str">
        <f>IF(ISNA(HLOOKUP("start",ESLData!C$1:C$9960,MATCH($A968,ESLData!$B$1:$B$9960,0))),"",HLOOKUP("start",ESLData!C$1:C$9960,MATCH($A968,ESLData!$B$1:$B$9960,0)))</f>
        <v>Salaries - Administration</v>
      </c>
    </row>
    <row r="969" spans="1:11" ht="14.25" customHeight="1" x14ac:dyDescent="0.2">
      <c r="A969" s="145">
        <v>37400</v>
      </c>
      <c r="C969" s="143">
        <f>HLOOKUP("start",ESLData!E$1:E$9960,MATCH($A969,ESLData!$B$1:$B$9960,0))</f>
        <v>23469.34</v>
      </c>
      <c r="D969" s="148"/>
      <c r="E969" s="143">
        <f>HLOOKUP("start",ESLData!F$1:F$9960,MATCH($A969,ESLData!$B$1:$B$9960,0))</f>
        <v>21572</v>
      </c>
      <c r="F969" s="148"/>
      <c r="G969" s="143">
        <f>HLOOKUP("start",ESLData!H$1:H$9960,MATCH($A969,ESLData!$B$1:$B$9960,0))</f>
        <v>20876.93</v>
      </c>
      <c r="H969" s="148"/>
      <c r="J969" s="156" t="s">
        <v>987</v>
      </c>
      <c r="K969" s="142" t="str">
        <f>IF(ISNA(HLOOKUP("start",ESLData!C$1:C$9960,MATCH($A969,ESLData!$B$1:$B$9960,0))),"",HLOOKUP("start",ESLData!C$1:C$9960,MATCH($A969,ESLData!$B$1:$B$9960,0)))</f>
        <v>Salaries</v>
      </c>
    </row>
    <row r="970" spans="1:11" ht="14.25" customHeight="1" x14ac:dyDescent="0.2">
      <c r="A970" s="145">
        <v>37305</v>
      </c>
      <c r="C970" s="143">
        <f>HLOOKUP("start",ESLData!E$1:E$9960,MATCH($A970,ESLData!$B$1:$B$9960,0))</f>
        <v>75257.06</v>
      </c>
      <c r="E970" s="143">
        <f>HLOOKUP("start",ESLData!F$1:F$9960,MATCH($A970,ESLData!$B$1:$B$9960,0))</f>
        <v>77705</v>
      </c>
      <c r="G970" s="143">
        <f>HLOOKUP("start",ESLData!H$1:H$9960,MATCH($A970,ESLData!$B$1:$B$9960,0))</f>
        <v>71216.479999999996</v>
      </c>
      <c r="J970" s="156" t="s">
        <v>987</v>
      </c>
      <c r="K970" s="142" t="str">
        <f>IF(ISNA(HLOOKUP("start",ESLData!C$1:C$9960,MATCH($A970,ESLData!$B$1:$B$9960,0))),"",HLOOKUP("start",ESLData!C$1:C$9960,MATCH($A970,ESLData!$B$1:$B$9960,0)))</f>
        <v>Salaries Admin Nat Assess</v>
      </c>
    </row>
    <row r="971" spans="1:11" ht="14.25" customHeight="1" x14ac:dyDescent="0.2">
      <c r="A971" s="144">
        <v>35171</v>
      </c>
      <c r="C971" s="143">
        <f>HLOOKUP("start",ESLData!E$1:E$9960,MATCH($A971,ESLData!$B$1:$B$9960,0))</f>
        <v>29227.200000000001</v>
      </c>
      <c r="E971" s="143">
        <f>HLOOKUP("start",ESLData!F$1:F$9960,MATCH($A971,ESLData!$B$1:$B$9960,0))</f>
        <v>30907</v>
      </c>
      <c r="G971" s="143">
        <f>HLOOKUP("start",ESLData!H$1:H$9960,MATCH($A971,ESLData!$B$1:$B$9960,0))</f>
        <v>21519.3</v>
      </c>
      <c r="J971" s="156" t="s">
        <v>987</v>
      </c>
      <c r="K971" s="142" t="str">
        <f>IF(ISNA(HLOOKUP("start",ESLData!C$1:C$9960,MATCH($A971,ESLData!$B$1:$B$9960,0))),"",HLOOKUP("start",ESLData!C$1:C$9960,MATCH($A971,ESLData!$B$1:$B$9960,0)))</f>
        <v>Regional Network Staffing</v>
      </c>
    </row>
    <row r="972" spans="1:11" ht="14.25" customHeight="1" x14ac:dyDescent="0.2">
      <c r="A972" s="144">
        <v>35160</v>
      </c>
      <c r="C972" s="143">
        <f>HLOOKUP("start",ESLData!E$1:E$9960,MATCH($A972,ESLData!$B$1:$B$9960,0))</f>
        <v>0</v>
      </c>
      <c r="E972" s="143">
        <f>HLOOKUP("start",ESLData!F$1:F$9960,MATCH($A972,ESLData!$B$1:$B$9960,0))</f>
        <v>0</v>
      </c>
      <c r="G972" s="143">
        <f>HLOOKUP("start",ESLData!H$1:H$9960,MATCH($A972,ESLData!$B$1:$B$9960,0))</f>
        <v>4579.16</v>
      </c>
      <c r="J972" s="156" t="s">
        <v>987</v>
      </c>
      <c r="K972" s="142" t="str">
        <f>IF(ISNA(HLOOKUP("start",ESLData!C$1:C$9960,MATCH($A972,ESLData!$B$1:$B$9960,0))),"",HLOOKUP("start",ESLData!C$1:C$9960,MATCH($A972,ESLData!$B$1:$B$9960,0)))</f>
        <v>Staffing</v>
      </c>
    </row>
    <row r="973" spans="1:11" ht="14.25" customHeight="1" x14ac:dyDescent="0.2">
      <c r="A973" s="144">
        <v>35000</v>
      </c>
      <c r="C973" s="143">
        <f>HLOOKUP("start",ESLData!E$1:E$9960,MATCH($A973,ESLData!$B$1:$B$9960,0))</f>
        <v>10202.92</v>
      </c>
      <c r="E973" s="143">
        <f>HLOOKUP("start",ESLData!F$1:F$9960,MATCH($A973,ESLData!$B$1:$B$9960,0))</f>
        <v>15850</v>
      </c>
      <c r="G973" s="143">
        <f>HLOOKUP("start",ESLData!H$1:H$9960,MATCH($A973,ESLData!$B$1:$B$9960,0))</f>
        <v>9478.07</v>
      </c>
      <c r="J973" s="156" t="s">
        <v>987</v>
      </c>
      <c r="K973" s="142" t="str">
        <f>IF(ISNA(HLOOKUP("start",ESLData!C$1:C$9960,MATCH($A973,ESLData!$B$1:$B$9960,0))),"",HLOOKUP("start",ESLData!C$1:C$9960,MATCH($A973,ESLData!$B$1:$B$9960,0)))</f>
        <v>Staffing</v>
      </c>
    </row>
    <row r="974" spans="1:11" ht="14.25" customHeight="1" x14ac:dyDescent="0.2">
      <c r="A974" s="144">
        <v>35900</v>
      </c>
      <c r="C974" s="143">
        <f>HLOOKUP("start",ESLData!E$1:E$9960,MATCH($A974,ESLData!$B$1:$B$9960,0))</f>
        <v>0</v>
      </c>
      <c r="E974" s="143">
        <f>HLOOKUP("start",ESLData!F$1:F$9960,MATCH($A974,ESLData!$B$1:$B$9960,0))</f>
        <v>0</v>
      </c>
      <c r="G974" s="143">
        <f>HLOOKUP("start",ESLData!H$1:H$9960,MATCH($A974,ESLData!$B$1:$B$9960,0))</f>
        <v>0</v>
      </c>
      <c r="J974" s="156" t="s">
        <v>987</v>
      </c>
      <c r="K974" s="142" t="str">
        <f>IF(ISNA(HLOOKUP("start",ESLData!C$1:C$9960,MATCH($A974,ESLData!$B$1:$B$9960,0))),"",HLOOKUP("start",ESLData!C$1:C$9960,MATCH($A974,ESLData!$B$1:$B$9960,0)))</f>
        <v>Staffing Ecc</v>
      </c>
    </row>
    <row r="975" spans="1:11" ht="14.25" customHeight="1" x14ac:dyDescent="0.2">
      <c r="A975" s="144">
        <v>60250</v>
      </c>
      <c r="C975" s="143">
        <f>HLOOKUP("start",ESLData!E$1:E$9960,MATCH($A975,ESLData!$B$1:$B$9960,0))</f>
        <v>47721.84</v>
      </c>
      <c r="E975" s="143">
        <f>HLOOKUP("start",ESLData!F$1:F$9960,MATCH($A975,ESLData!$B$1:$B$9960,0))</f>
        <v>44418</v>
      </c>
      <c r="G975" s="143">
        <f>HLOOKUP("start",ESLData!H$1:H$9960,MATCH($A975,ESLData!$B$1:$B$9960,0))</f>
        <v>40819.21</v>
      </c>
      <c r="J975" s="156" t="s">
        <v>987</v>
      </c>
      <c r="K975" s="142" t="str">
        <f>IF(ISNA(HLOOKUP("start",ESLData!C$1:C$9960,MATCH($A975,ESLData!$B$1:$B$9960,0))),"",HLOOKUP("start",ESLData!C$1:C$9960,MATCH($A975,ESLData!$B$1:$B$9960,0)))</f>
        <v>O&amp;M Admin Staffing</v>
      </c>
    </row>
    <row r="976" spans="1:11" ht="14.25" customHeight="1" x14ac:dyDescent="0.2">
      <c r="A976" s="144">
        <v>60255</v>
      </c>
      <c r="C976" s="143">
        <f>HLOOKUP("start",ESLData!E$1:E$9960,MATCH($A976,ESLData!$B$1:$B$9960,0))</f>
        <v>1295.05</v>
      </c>
      <c r="D976" s="162">
        <f>ROUND(SUM(C963:C976),0)</f>
        <v>553204</v>
      </c>
      <c r="E976" s="143">
        <f>HLOOKUP("start",ESLData!F$1:F$9960,MATCH($A976,ESLData!$B$1:$B$9960,0))</f>
        <v>6000</v>
      </c>
      <c r="F976" s="155">
        <f>ROUND(SUM(E963:E976),0)</f>
        <v>545804</v>
      </c>
      <c r="G976" s="143">
        <f>HLOOKUP("start",ESLData!H$1:H$9960,MATCH($A976,ESLData!$B$1:$B$9960,0))</f>
        <v>0</v>
      </c>
      <c r="H976" s="162">
        <f>ROUND(SUM(G963:G976),0)</f>
        <v>523981</v>
      </c>
      <c r="J976" s="156" t="s">
        <v>987</v>
      </c>
      <c r="K976" s="142" t="str">
        <f>IF(ISNA(HLOOKUP("start",ESLData!C$1:C$9960,MATCH($A976,ESLData!$B$1:$B$9960,0))),"",HLOOKUP("start",ESLData!C$1:C$9960,MATCH($A976,ESLData!$B$1:$B$9960,0)))</f>
        <v>Staffing: Peer Mentoring</v>
      </c>
    </row>
    <row r="977" spans="1:11" ht="14.25" customHeight="1" x14ac:dyDescent="0.2">
      <c r="A977" s="147" t="s">
        <v>618</v>
      </c>
      <c r="C977" s="143"/>
      <c r="E977" s="143"/>
      <c r="G977" s="143"/>
      <c r="J977" s="156" t="s">
        <v>987</v>
      </c>
      <c r="K977" s="142" t="str">
        <f>IF(ISNA(HLOOKUP("start",ESLData!C$1:C$9960,MATCH($A977,ESLData!$B$1:$B$9960,0))),"",HLOOKUP("start",ESLData!C$1:C$9960,MATCH($A977,ESLData!$B$1:$B$9960,0)))</f>
        <v/>
      </c>
    </row>
    <row r="978" spans="1:11" ht="14.25" customHeight="1" x14ac:dyDescent="0.2">
      <c r="A978" s="144">
        <v>46580</v>
      </c>
      <c r="C978" s="143">
        <f>HLOOKUP("start",ESLData!E$1:E$9960,MATCH($A978,ESLData!$B$1:$B$9960,0))</f>
        <v>557.54999999999995</v>
      </c>
      <c r="E978" s="143">
        <f>HLOOKUP("start",ESLData!F$1:F$9960,MATCH($A978,ESLData!$B$1:$B$9960,0))</f>
        <v>558</v>
      </c>
      <c r="G978" s="143">
        <f>HLOOKUP("start",ESLData!H$1:H$9960,MATCH($A978,ESLData!$B$1:$B$9960,0))</f>
        <v>464.6</v>
      </c>
      <c r="J978" s="156" t="s">
        <v>987</v>
      </c>
      <c r="K978" s="142" t="str">
        <f>IF(ISNA(HLOOKUP("start",ESLData!C$1:C$9960,MATCH($A978,ESLData!$B$1:$B$9960,0))),"",HLOOKUP("start",ESLData!C$1:C$9960,MATCH($A978,ESLData!$B$1:$B$9960,0)))</f>
        <v>Insurance - School</v>
      </c>
    </row>
    <row r="979" spans="1:11" ht="14.25" customHeight="1" x14ac:dyDescent="0.2">
      <c r="A979" s="144">
        <v>46950</v>
      </c>
      <c r="C979" s="143">
        <f>HLOOKUP("start",ESLData!E$1:E$9960,MATCH($A979,ESLData!$B$1:$B$9960,0))</f>
        <v>-815</v>
      </c>
      <c r="E979" s="143">
        <f>HLOOKUP("start",ESLData!F$1:F$9960,MATCH($A979,ESLData!$B$1:$B$9960,0))</f>
        <v>770</v>
      </c>
      <c r="G979" s="143">
        <f>HLOOKUP("start",ESLData!H$1:H$9960,MATCH($A979,ESLData!$B$1:$B$9960,0))</f>
        <v>511.32</v>
      </c>
      <c r="J979" s="156" t="s">
        <v>987</v>
      </c>
      <c r="K979" s="142" t="str">
        <f>IF(ISNA(HLOOKUP("start",ESLData!C$1:C$9960,MATCH($A979,ESLData!$B$1:$B$9960,0))),"",HLOOKUP("start",ESLData!C$1:C$9960,MATCH($A979,ESLData!$B$1:$B$9960,0)))</f>
        <v>Insurance - Moe Scheme</v>
      </c>
    </row>
    <row r="980" spans="1:11" ht="14.25" customHeight="1" x14ac:dyDescent="0.2">
      <c r="A980" s="144">
        <v>57690</v>
      </c>
      <c r="C980" s="143">
        <f>HLOOKUP("start",ESLData!E$1:E$9960,MATCH($A980,ESLData!$B$1:$B$9960,0))</f>
        <v>22465.89</v>
      </c>
      <c r="D980" s="162">
        <f>ROUND(SUM(C978:C980),0)</f>
        <v>22208</v>
      </c>
      <c r="E980" s="143">
        <f>HLOOKUP("start",ESLData!F$1:F$9960,MATCH($A980,ESLData!$B$1:$B$9960,0))</f>
        <v>18735</v>
      </c>
      <c r="F980" s="155">
        <f>ROUND(SUM(E978:E980),0)</f>
        <v>20063</v>
      </c>
      <c r="G980" s="143">
        <f>HLOOKUP("start",ESLData!H$1:H$9960,MATCH($A980,ESLData!$B$1:$B$9960,0))</f>
        <v>6843.89</v>
      </c>
      <c r="H980" s="162">
        <f>ROUND(SUM(G978:G980),0)</f>
        <v>7820</v>
      </c>
      <c r="J980" s="156" t="s">
        <v>987</v>
      </c>
      <c r="K980" s="142" t="str">
        <f>IF(ISNA(HLOOKUP("start",ESLData!C$1:C$9960,MATCH($A980,ESLData!$B$1:$B$9960,0))),"",HLOOKUP("start",ESLData!C$1:C$9960,MATCH($A980,ESLData!$B$1:$B$9960,0)))</f>
        <v>OLE Insurance</v>
      </c>
    </row>
    <row r="981" spans="1:11" ht="14.25" customHeight="1" x14ac:dyDescent="0.2">
      <c r="A981" s="147" t="s">
        <v>984</v>
      </c>
      <c r="C981" s="143"/>
      <c r="E981" s="143"/>
      <c r="G981" s="143"/>
      <c r="J981" s="156" t="s">
        <v>987</v>
      </c>
      <c r="K981" s="142" t="str">
        <f>IF(ISNA(HLOOKUP("start",ESLData!C$1:C$9960,MATCH($A981,ESLData!$B$1:$B$9960,0))),"",HLOOKUP("start",ESLData!C$1:C$9960,MATCH($A981,ESLData!$B$1:$B$9960,0)))</f>
        <v/>
      </c>
    </row>
    <row r="982" spans="1:11" ht="14.25" customHeight="1" x14ac:dyDescent="0.2">
      <c r="A982" s="144">
        <v>46000</v>
      </c>
      <c r="C982" s="143">
        <f>HLOOKUP("start",ESLData!E$1:E$9960,MATCH($A982,ESLData!$B$1:$B$9960,0))</f>
        <v>33444</v>
      </c>
      <c r="E982" s="143">
        <f>HLOOKUP("start",ESLData!F$1:F$9960,MATCH($A982,ESLData!$B$1:$B$9960,0))</f>
        <v>33263</v>
      </c>
      <c r="G982" s="143">
        <f>HLOOKUP("start",ESLData!H$1:H$9960,MATCH($A982,ESLData!$B$1:$B$9960,0))</f>
        <v>31200</v>
      </c>
      <c r="J982" s="156" t="s">
        <v>987</v>
      </c>
      <c r="K982" s="142" t="str">
        <f>IF(ISNA(HLOOKUP("start",ESLData!C$1:C$9960,MATCH($A982,ESLData!$B$1:$B$9960,0))),"",HLOOKUP("start",ESLData!C$1:C$9960,MATCH($A982,ESLData!$B$1:$B$9960,0)))</f>
        <v>Accounting Fees</v>
      </c>
    </row>
    <row r="983" spans="1:11" ht="14.25" customHeight="1" x14ac:dyDescent="0.2">
      <c r="A983" s="144">
        <v>46645</v>
      </c>
      <c r="C983" s="143">
        <f>HLOOKUP("start",ESLData!E$1:E$9960,MATCH($A983,ESLData!$B$1:$B$9960,0))</f>
        <v>0</v>
      </c>
      <c r="E983" s="143">
        <f>HLOOKUP("start",ESLData!F$1:F$9960,MATCH($A983,ESLData!$B$1:$B$9960,0))</f>
        <v>0</v>
      </c>
      <c r="G983" s="143">
        <f>HLOOKUP("start",ESLData!H$1:H$9960,MATCH($A983,ESLData!$B$1:$B$9960,0))</f>
        <v>0</v>
      </c>
      <c r="J983" s="156" t="s">
        <v>987</v>
      </c>
      <c r="K983" s="142" t="str">
        <f>IF(ISNA(HLOOKUP("start",ESLData!C$1:C$9960,MATCH($A983,ESLData!$B$1:$B$9960,0))),"",HLOOKUP("start",ESLData!C$1:C$9960,MATCH($A983,ESLData!$B$1:$B$9960,0)))</f>
        <v>ICT Staffing</v>
      </c>
    </row>
    <row r="984" spans="1:11" ht="14.25" customHeight="1" x14ac:dyDescent="0.2">
      <c r="A984" s="144">
        <v>46886</v>
      </c>
      <c r="C984" s="143">
        <f>HLOOKUP("start",ESLData!E$1:E$9960,MATCH($A984,ESLData!$B$1:$B$9960,0))</f>
        <v>10150</v>
      </c>
      <c r="D984" s="162">
        <f>ROUND(SUM(C982:C984),0)</f>
        <v>43594</v>
      </c>
      <c r="E984" s="143">
        <f>HLOOKUP("start",ESLData!F$1:F$9960,MATCH($A984,ESLData!$B$1:$B$9960,0))</f>
        <v>7500</v>
      </c>
      <c r="F984" s="155">
        <f>ROUND(SUM(E982:E984),0)</f>
        <v>40763</v>
      </c>
      <c r="G984" s="143">
        <f>HLOOKUP("start",ESLData!H$1:H$9960,MATCH($A984,ESLData!$B$1:$B$9960,0))</f>
        <v>10511</v>
      </c>
      <c r="H984" s="162">
        <f>ROUND(SUM(G982:G984),0)</f>
        <v>41711</v>
      </c>
      <c r="J984" s="156" t="s">
        <v>987</v>
      </c>
      <c r="K984" s="142" t="str">
        <f>IF(ISNA(HLOOKUP("start",ESLData!C$1:C$9960,MATCH($A984,ESLData!$B$1:$B$9960,0))),"",HLOOKUP("start",ESLData!C$1:C$9960,MATCH($A984,ESLData!$B$1:$B$9960,0)))</f>
        <v>Eap Counselling Services</v>
      </c>
    </row>
    <row r="985" spans="1:11" ht="14.25" customHeight="1" x14ac:dyDescent="0.2">
      <c r="A985" s="147"/>
      <c r="C985" s="143"/>
      <c r="E985" s="143"/>
      <c r="G985" s="143"/>
      <c r="J985" s="156" t="s">
        <v>987</v>
      </c>
      <c r="K985" s="142" t="str">
        <f>IF(ISNA(HLOOKUP("start",ESLData!C$1:C$9960,MATCH($A985,ESLData!$B$1:$B$9960,0))),"",HLOOKUP("start",ESLData!C$1:C$9960,MATCH($A985,ESLData!$B$1:$B$9960,0)))</f>
        <v/>
      </c>
    </row>
    <row r="986" spans="1:11" ht="14.25" customHeight="1" x14ac:dyDescent="0.2">
      <c r="A986" s="151" t="s">
        <v>616</v>
      </c>
      <c r="C986" s="143"/>
      <c r="E986" s="143"/>
      <c r="G986" s="143"/>
      <c r="J986" s="156" t="s">
        <v>987</v>
      </c>
      <c r="K986" s="142" t="str">
        <f>IF(ISNA(HLOOKUP("start",ESLData!C$1:C$9960,MATCH($A986,ESLData!$B$1:$B$9960,0))),"",HLOOKUP("start",ESLData!C$1:C$9960,MATCH($A986,ESLData!$B$1:$B$9960,0)))</f>
        <v/>
      </c>
    </row>
    <row r="987" spans="1:11" ht="14.25" customHeight="1" x14ac:dyDescent="0.2">
      <c r="A987" s="147" t="s">
        <v>637</v>
      </c>
      <c r="C987" s="143"/>
      <c r="E987" s="143"/>
      <c r="G987" s="143"/>
      <c r="J987" s="156" t="s">
        <v>987</v>
      </c>
      <c r="K987" s="142" t="str">
        <f>IF(ISNA(HLOOKUP("start",ESLData!C$1:C$9960,MATCH($A987,ESLData!$B$1:$B$9960,0))),"",HLOOKUP("start",ESLData!C$1:C$9960,MATCH($A987,ESLData!$B$1:$B$9960,0)))</f>
        <v/>
      </c>
    </row>
    <row r="988" spans="1:11" ht="14.25" customHeight="1" x14ac:dyDescent="0.2">
      <c r="A988" s="144">
        <v>36029</v>
      </c>
      <c r="C988" s="143">
        <f>HLOOKUP("start",ESLData!E$1:E$9960,MATCH($A988,ESLData!$B$1:$B$9960,0))</f>
        <v>18519.28</v>
      </c>
      <c r="E988" s="143">
        <f>HLOOKUP("start",ESLData!F$1:F$9960,MATCH($A988,ESLData!$B$1:$B$9960,0))</f>
        <v>19500</v>
      </c>
      <c r="G988" s="143">
        <f>HLOOKUP("start",ESLData!H$1:H$9960,MATCH($A988,ESLData!$B$1:$B$9960,0))</f>
        <v>20103.38</v>
      </c>
      <c r="J988" s="156" t="s">
        <v>987</v>
      </c>
      <c r="K988" s="142" t="str">
        <f>IF(ISNA(HLOOKUP("start",ESLData!C$1:C$9960,MATCH($A988,ESLData!$B$1:$B$9960,0))),"",HLOOKUP("start",ESLData!C$1:C$9960,MATCH($A988,ESLData!$B$1:$B$9960,0)))</f>
        <v>Caretaking/Cleaning</v>
      </c>
    </row>
    <row r="989" spans="1:11" ht="14.25" customHeight="1" x14ac:dyDescent="0.2">
      <c r="A989" s="144">
        <v>30255</v>
      </c>
      <c r="C989" s="143">
        <f>HLOOKUP("start",ESLData!E$1:E$9960,MATCH($A989,ESLData!$B$1:$B$9960,0))</f>
        <v>42244.959999999999</v>
      </c>
      <c r="E989" s="143">
        <f>HLOOKUP("start",ESLData!F$1:F$9960,MATCH($A989,ESLData!$B$1:$B$9960,0))</f>
        <v>39250</v>
      </c>
      <c r="G989" s="143">
        <f>HLOOKUP("start",ESLData!H$1:H$9960,MATCH($A989,ESLData!$B$1:$B$9960,0))</f>
        <v>0</v>
      </c>
      <c r="J989" s="156"/>
      <c r="K989" s="142" t="str">
        <f>IF(ISNA(HLOOKUP("start",ESLData!C$1:C$9960,MATCH($A989,ESLData!$B$1:$B$9960,0))),"",HLOOKUP("start",ESLData!C$1:C$9960,MATCH($A989,ESLData!$B$1:$B$9960,0)))</f>
        <v>Cleaning Contractor</v>
      </c>
    </row>
    <row r="990" spans="1:11" ht="14.25" customHeight="1" x14ac:dyDescent="0.2">
      <c r="A990" s="144">
        <v>38055</v>
      </c>
      <c r="C990" s="143">
        <f>HLOOKUP("start",ESLData!E$1:E$9960,MATCH($A990,ESLData!$B$1:$B$9960,0))</f>
        <v>31482.68</v>
      </c>
      <c r="E990" s="143">
        <f>HLOOKUP("start",ESLData!F$1:F$9960,MATCH($A990,ESLData!$B$1:$B$9960,0))</f>
        <v>33000</v>
      </c>
      <c r="G990" s="143">
        <f>HLOOKUP("start",ESLData!H$1:H$9960,MATCH($A990,ESLData!$B$1:$B$9960,0))</f>
        <v>0</v>
      </c>
      <c r="J990" s="156"/>
      <c r="K990" s="142" t="str">
        <f>IF(ISNA(HLOOKUP("start",ESLData!C$1:C$9960,MATCH($A990,ESLData!$B$1:$B$9960,0))),"",HLOOKUP("start",ESLData!C$1:C$9960,MATCH($A990,ESLData!$B$1:$B$9960,0)))</f>
        <v>Cleaning Contractor</v>
      </c>
    </row>
    <row r="991" spans="1:11" ht="14.25" customHeight="1" x14ac:dyDescent="0.2">
      <c r="A991" s="144">
        <v>57000</v>
      </c>
      <c r="C991" s="143">
        <f>HLOOKUP("start",ESLData!E$1:E$9960,MATCH($A991,ESLData!$B$1:$B$9960,0))</f>
        <v>13636.45</v>
      </c>
      <c r="E991" s="143">
        <f>HLOOKUP("start",ESLData!F$1:F$9960,MATCH($A991,ESLData!$B$1:$B$9960,0))</f>
        <v>13000</v>
      </c>
      <c r="G991" s="143">
        <f>HLOOKUP("start",ESLData!H$1:H$9960,MATCH($A991,ESLData!$B$1:$B$9960,0))</f>
        <v>17050.66</v>
      </c>
      <c r="J991" s="156" t="s">
        <v>987</v>
      </c>
      <c r="K991" s="142" t="str">
        <f>IF(ISNA(HLOOKUP("start",ESLData!C$1:C$9960,MATCH($A991,ESLData!$B$1:$B$9960,0))),"",HLOOKUP("start",ESLData!C$1:C$9960,MATCH($A991,ESLData!$B$1:$B$9960,0)))</f>
        <v>Carpets/Pest Control</v>
      </c>
    </row>
    <row r="992" spans="1:11" ht="14.25" customHeight="1" x14ac:dyDescent="0.2">
      <c r="A992" s="144">
        <v>57110</v>
      </c>
      <c r="C992" s="143">
        <f>HLOOKUP("start",ESLData!E$1:E$9960,MATCH($A992,ESLData!$B$1:$B$9960,0))</f>
        <v>31649.77</v>
      </c>
      <c r="E992" s="143">
        <f>HLOOKUP("start",ESLData!F$1:F$9960,MATCH($A992,ESLData!$B$1:$B$9960,0))</f>
        <v>35000</v>
      </c>
      <c r="G992" s="143">
        <f>HLOOKUP("start",ESLData!H$1:H$9960,MATCH($A992,ESLData!$B$1:$B$9960,0))</f>
        <v>0</v>
      </c>
      <c r="J992" s="156"/>
      <c r="K992" s="142" t="str">
        <f>IF(ISNA(HLOOKUP("start",ESLData!C$1:C$9960,MATCH($A992,ESLData!$B$1:$B$9960,0))),"",HLOOKUP("start",ESLData!C$1:C$9960,MATCH($A992,ESLData!$B$1:$B$9960,0)))</f>
        <v>Cleaning Contractor</v>
      </c>
    </row>
    <row r="993" spans="1:12" ht="14.25" customHeight="1" x14ac:dyDescent="0.2">
      <c r="A993" s="144">
        <v>57120</v>
      </c>
      <c r="C993" s="143">
        <f>HLOOKUP("start",ESLData!E$1:E$9960,MATCH($A993,ESLData!$B$1:$B$9960,0))</f>
        <v>14487.02</v>
      </c>
      <c r="E993" s="143">
        <f>HLOOKUP("start",ESLData!F$1:F$9960,MATCH($A993,ESLData!$B$1:$B$9960,0))</f>
        <v>16000</v>
      </c>
      <c r="G993" s="143">
        <f>HLOOKUP("start",ESLData!H$1:H$9960,MATCH($A993,ESLData!$B$1:$B$9960,0))</f>
        <v>16368.72</v>
      </c>
      <c r="J993" s="156" t="s">
        <v>987</v>
      </c>
      <c r="K993" s="142" t="str">
        <f>IF(ISNA(HLOOKUP("start",ESLData!C$1:C$9960,MATCH($A993,ESLData!$B$1:$B$9960,0))),"",HLOOKUP("start",ESLData!C$1:C$9960,MATCH($A993,ESLData!$B$1:$B$9960,0)))</f>
        <v>Rubbish/Sanitary Disposal</v>
      </c>
    </row>
    <row r="994" spans="1:12" ht="14.25" customHeight="1" x14ac:dyDescent="0.2">
      <c r="A994" s="144">
        <v>57130</v>
      </c>
      <c r="C994" s="143">
        <f>HLOOKUP("start",ESLData!E$1:E$9960,MATCH($A994,ESLData!$B$1:$B$9960,0))</f>
        <v>0</v>
      </c>
      <c r="E994" s="143">
        <f>HLOOKUP("start",ESLData!F$1:F$9960,MATCH($A994,ESLData!$B$1:$B$9960,0))</f>
        <v>0</v>
      </c>
      <c r="G994" s="143">
        <f>HLOOKUP("start",ESLData!H$1:H$9960,MATCH($A994,ESLData!$B$1:$B$9960,0))</f>
        <v>0</v>
      </c>
      <c r="J994" s="156" t="s">
        <v>987</v>
      </c>
      <c r="K994" s="142" t="str">
        <f>IF(ISNA(HLOOKUP("start",ESLData!C$1:C$9960,MATCH($A994,ESLData!$B$1:$B$9960,0))),"",HLOOKUP("start",ESLData!C$1:C$9960,MATCH($A994,ESLData!$B$1:$B$9960,0)))</f>
        <v>Renovation Rubbish Disposal</v>
      </c>
    </row>
    <row r="995" spans="1:12" ht="13.5" customHeight="1" x14ac:dyDescent="0.2">
      <c r="A995" s="144">
        <v>57140</v>
      </c>
      <c r="C995" s="143">
        <f>HLOOKUP("start",ESLData!E$1:E$9960,MATCH($A995,ESLData!$B$1:$B$9960,0))</f>
        <v>0</v>
      </c>
      <c r="D995" s="148"/>
      <c r="E995" s="143">
        <f>HLOOKUP("start",ESLData!F$1:F$9960,MATCH($A995,ESLData!$B$1:$B$9960,0))</f>
        <v>0</v>
      </c>
      <c r="F995" s="148"/>
      <c r="G995" s="143">
        <f>HLOOKUP("start",ESLData!H$1:H$9960,MATCH($A995,ESLData!$B$1:$B$9960,0))</f>
        <v>0</v>
      </c>
      <c r="H995" s="148"/>
      <c r="J995" s="156" t="s">
        <v>987</v>
      </c>
      <c r="K995" s="142" t="str">
        <f>IF(ISNA(HLOOKUP("start",ESLData!C$1:C$9960,MATCH($A995,ESLData!$B$1:$B$9960,0))),"",HLOOKUP("start",ESLData!C$1:C$9960,MATCH($A995,ESLData!$B$1:$B$9960,0)))</f>
        <v>Window Cleaning</v>
      </c>
    </row>
    <row r="996" spans="1:12" ht="14.25" customHeight="1" x14ac:dyDescent="0.2">
      <c r="A996" s="144">
        <v>58000</v>
      </c>
      <c r="C996" s="143">
        <f>HLOOKUP("start",ESLData!E$1:E$9960,MATCH($A996,ESLData!$B$1:$B$9960,0))</f>
        <v>4503.7700000000004</v>
      </c>
      <c r="E996" s="143">
        <f>HLOOKUP("start",ESLData!F$1:F$9960,MATCH($A996,ESLData!$B$1:$B$9960,0))</f>
        <v>500</v>
      </c>
      <c r="G996" s="143">
        <f>HLOOKUP("start",ESLData!H$1:H$9960,MATCH($A996,ESLData!$B$1:$B$9960,0))</f>
        <v>1932.53</v>
      </c>
      <c r="J996" s="156" t="s">
        <v>987</v>
      </c>
      <c r="K996" s="142" t="str">
        <f>IF(ISNA(HLOOKUP("start",ESLData!C$1:C$9960,MATCH($A996,ESLData!$B$1:$B$9960,0))),"",HLOOKUP("start",ESLData!C$1:C$9960,MATCH($A996,ESLData!$B$1:$B$9960,0)))</f>
        <v>Laundry</v>
      </c>
      <c r="L996" s="146" t="s">
        <v>781</v>
      </c>
    </row>
    <row r="997" spans="1:12" ht="14.25" customHeight="1" x14ac:dyDescent="0.2">
      <c r="A997" s="144">
        <v>58020</v>
      </c>
      <c r="C997" s="143">
        <f>HLOOKUP("start",ESLData!E$1:E$9960,MATCH($A997,ESLData!$B$1:$B$9960,0))</f>
        <v>11862.84</v>
      </c>
      <c r="D997" s="162">
        <f>ROUND(SUM(C988:C997),0)</f>
        <v>168387</v>
      </c>
      <c r="E997" s="143">
        <f>HLOOKUP("start",ESLData!F$1:F$9960,MATCH($A997,ESLData!$B$1:$B$9960,0))</f>
        <v>8500</v>
      </c>
      <c r="F997" s="155">
        <f>ROUND(SUM(E988:E997),0)</f>
        <v>164750</v>
      </c>
      <c r="G997" s="143">
        <f>HLOOKUP("start",ESLData!H$1:H$9960,MATCH($A997,ESLData!$B$1:$B$9960,0))</f>
        <v>11090.45</v>
      </c>
      <c r="H997" s="162">
        <f>ROUND(SUM(G988:G997),0)</f>
        <v>66546</v>
      </c>
      <c r="J997" s="156" t="s">
        <v>987</v>
      </c>
      <c r="K997" s="142" t="str">
        <f>IF(ISNA(HLOOKUP("start",ESLData!C$1:C$9960,MATCH($A997,ESLData!$B$1:$B$9960,0))),"",HLOOKUP("start",ESLData!C$1:C$9960,MATCH($A997,ESLData!$B$1:$B$9960,0)))</f>
        <v>Stores</v>
      </c>
    </row>
    <row r="998" spans="1:12" ht="14.25" customHeight="1" x14ac:dyDescent="0.2">
      <c r="C998" s="143"/>
      <c r="D998" s="155"/>
      <c r="E998" s="143"/>
      <c r="F998" s="155"/>
      <c r="G998" s="143"/>
      <c r="H998" s="155"/>
      <c r="J998" s="156"/>
    </row>
    <row r="999" spans="1:12" ht="14.25" customHeight="1" x14ac:dyDescent="0.2">
      <c r="C999" s="143"/>
      <c r="D999" s="155"/>
      <c r="E999" s="143"/>
      <c r="F999" s="155"/>
      <c r="G999" s="143"/>
      <c r="H999" s="155"/>
      <c r="J999" s="156"/>
    </row>
    <row r="1000" spans="1:12" ht="14.25" customHeight="1" x14ac:dyDescent="0.2">
      <c r="A1000" s="147" t="s">
        <v>1500</v>
      </c>
      <c r="C1000" s="143"/>
      <c r="D1000" s="148"/>
      <c r="E1000" s="143"/>
      <c r="F1000" s="148"/>
      <c r="G1000" s="143"/>
      <c r="H1000" s="148"/>
      <c r="J1000" s="156" t="s">
        <v>987</v>
      </c>
      <c r="K1000" s="142" t="str">
        <f>IF(ISNA(HLOOKUP("start",ESLData!C$1:C$9960,MATCH($A1000,ESLData!$B$1:$B$9960,0))),"",HLOOKUP("start",ESLData!C$1:C$9960,MATCH($A1000,ESLData!$B$1:$B$9960,0)))</f>
        <v/>
      </c>
    </row>
    <row r="1001" spans="1:12" ht="14.25" customHeight="1" x14ac:dyDescent="0.2">
      <c r="A1001" s="144">
        <v>57610</v>
      </c>
      <c r="C1001" s="143">
        <f>HLOOKUP("start",ESLData!E$1:E$9960,MATCH($A1001,ESLData!$B$1:$B$9960,0))</f>
        <v>32471</v>
      </c>
      <c r="D1001" s="163">
        <f>ROUND(SUM(C1001),0)</f>
        <v>32471</v>
      </c>
      <c r="E1001" s="143">
        <f>HLOOKUP("start",ESLData!F$1:F$9960,MATCH($A1001,ESLData!$B$1:$B$9960,0))</f>
        <v>23229</v>
      </c>
      <c r="F1001" s="148">
        <f>ROUND(SUM(E1001),0)</f>
        <v>23229</v>
      </c>
      <c r="G1001" s="164">
        <f>HLOOKUP("start",ESLData!H$1:H$9960,MATCH($A1001,ESLData!$B$1:$B$9960,0))</f>
        <v>28503</v>
      </c>
      <c r="H1001" s="148">
        <f>ROUND(SUM(G1001),0)</f>
        <v>28503</v>
      </c>
      <c r="J1001" s="156" t="s">
        <v>987</v>
      </c>
      <c r="K1001" s="142" t="str">
        <f>IF(ISNA(HLOOKUP("start",ESLData!C$1:C$9960,MATCH($A1001,ESLData!$B$1:$B$9960,0))),"",HLOOKUP("start",ESLData!C$1:C$9960,MATCH($A1001,ESLData!$B$1:$B$9960,0)))</f>
        <v>Cyclical Maintenance</v>
      </c>
    </row>
    <row r="1002" spans="1:12" ht="14.25" customHeight="1" x14ac:dyDescent="0.2">
      <c r="C1002" s="143"/>
      <c r="D1002" s="148"/>
      <c r="E1002" s="143"/>
      <c r="F1002" s="148"/>
      <c r="G1002" s="143"/>
      <c r="H1002" s="148"/>
      <c r="J1002" s="156"/>
    </row>
    <row r="1003" spans="1:12" ht="14.25" customHeight="1" x14ac:dyDescent="0.2">
      <c r="A1003" s="147" t="s">
        <v>1501</v>
      </c>
      <c r="C1003" s="143"/>
      <c r="D1003" s="148"/>
      <c r="E1003" s="143"/>
      <c r="F1003" s="148"/>
      <c r="G1003" s="143"/>
      <c r="H1003" s="148"/>
      <c r="J1003" s="156" t="s">
        <v>987</v>
      </c>
      <c r="K1003" s="142" t="str">
        <f>IF(ISNA(HLOOKUP("start",ESLData!C$1:C$9960,MATCH($A1003,ESLData!$B$1:$B$9960,0))),"",HLOOKUP("start",ESLData!C$1:C$9960,MATCH($A1003,ESLData!$B$1:$B$9960,0)))</f>
        <v/>
      </c>
    </row>
    <row r="1004" spans="1:12" ht="14.25" customHeight="1" x14ac:dyDescent="0.2">
      <c r="A1004" s="144">
        <v>57615</v>
      </c>
      <c r="C1004" s="143">
        <f>HLOOKUP("start",ESLData!E$1:E$9960,MATCH($A1004,ESLData!$B$1:$B$9960,0))</f>
        <v>70071</v>
      </c>
      <c r="D1004" s="163">
        <f>ROUND(SUM(C1004),0)</f>
        <v>70071</v>
      </c>
      <c r="E1004" s="143">
        <f>HLOOKUP("start",ESLData!F$1:F$9960,MATCH($A1004,ESLData!$B$1:$B$9960,0))</f>
        <v>0</v>
      </c>
      <c r="F1004" s="148">
        <f>ROUND(SUM(E1004),0)</f>
        <v>0</v>
      </c>
      <c r="G1004" s="164">
        <f>HLOOKUP("start",ESLData!H$1:H$9960,MATCH($A1004,ESLData!$B$1:$B$9960,0))</f>
        <v>26874.26</v>
      </c>
      <c r="H1004" s="148">
        <f>ROUND(SUM(G1004),0)</f>
        <v>26874</v>
      </c>
      <c r="J1004" s="156" t="s">
        <v>987</v>
      </c>
      <c r="K1004" s="142" t="str">
        <f>IF(ISNA(HLOOKUP("start",ESLData!C$1:C$9960,MATCH($A1004,ESLData!$B$1:$B$9960,0))),"",HLOOKUP("start",ESLData!C$1:C$9960,MATCH($A1004,ESLData!$B$1:$B$9960,0)))</f>
        <v>Adjustment to the Provision</v>
      </c>
    </row>
    <row r="1005" spans="1:12" ht="14.25" customHeight="1" x14ac:dyDescent="0.2">
      <c r="C1005" s="143"/>
      <c r="D1005" s="148"/>
      <c r="E1005" s="143"/>
      <c r="F1005" s="148"/>
      <c r="G1005" s="143"/>
      <c r="H1005" s="148"/>
      <c r="J1005" s="156"/>
    </row>
    <row r="1006" spans="1:12" ht="14.25" customHeight="1" x14ac:dyDescent="0.2">
      <c r="A1006" s="147" t="s">
        <v>609</v>
      </c>
      <c r="C1006" s="143"/>
      <c r="E1006" s="143"/>
      <c r="G1006" s="143"/>
      <c r="J1006" s="156" t="s">
        <v>987</v>
      </c>
      <c r="K1006" s="142" t="str">
        <f>IF(ISNA(HLOOKUP("start",ESLData!C$1:C$9960,MATCH($A1006,ESLData!$B$1:$B$9960,0))),"",HLOOKUP("start",ESLData!C$1:C$9960,MATCH($A1006,ESLData!$B$1:$B$9960,0)))</f>
        <v/>
      </c>
    </row>
    <row r="1007" spans="1:12" ht="14.25" customHeight="1" x14ac:dyDescent="0.2">
      <c r="A1007" s="144">
        <v>57200</v>
      </c>
      <c r="C1007" s="143">
        <f>HLOOKUP("start",ESLData!E$1:E$9960,MATCH($A1007,ESLData!$B$1:$B$9960,0))</f>
        <v>9411.9699999999993</v>
      </c>
      <c r="E1007" s="143">
        <f>HLOOKUP("start",ESLData!F$1:F$9960,MATCH($A1007,ESLData!$B$1:$B$9960,0))</f>
        <v>15000</v>
      </c>
      <c r="G1007" s="143">
        <f>HLOOKUP("start",ESLData!H$1:H$9960,MATCH($A1007,ESLData!$B$1:$B$9960,0))</f>
        <v>4461.93</v>
      </c>
      <c r="J1007" s="156" t="s">
        <v>987</v>
      </c>
      <c r="K1007" s="142" t="str">
        <f>IF(ISNA(HLOOKUP("start",ESLData!C$1:C$9960,MATCH($A1007,ESLData!$B$1:$B$9960,0))),"",HLOOKUP("start",ESLData!C$1:C$9960,MATCH($A1007,ESLData!$B$1:$B$9960,0)))</f>
        <v>General Improvements</v>
      </c>
    </row>
    <row r="1008" spans="1:12" ht="14.25" customHeight="1" x14ac:dyDescent="0.2">
      <c r="A1008" s="144">
        <v>57270</v>
      </c>
      <c r="C1008" s="143">
        <f>HLOOKUP("start",ESLData!E$1:E$9960,MATCH($A1008,ESLData!$B$1:$B$9960,0))</f>
        <v>3129.27</v>
      </c>
      <c r="E1008" s="143">
        <f>HLOOKUP("start",ESLData!F$1:F$9960,MATCH($A1008,ESLData!$B$1:$B$9960,0))</f>
        <v>2500</v>
      </c>
      <c r="G1008" s="143">
        <f>HLOOKUP("start",ESLData!H$1:H$9960,MATCH($A1008,ESLData!$B$1:$B$9960,0))</f>
        <v>2445.7800000000002</v>
      </c>
      <c r="J1008" s="156" t="s">
        <v>987</v>
      </c>
      <c r="K1008" s="142" t="str">
        <f>IF(ISNA(HLOOKUP("start",ESLData!C$1:C$9960,MATCH($A1008,ESLData!$B$1:$B$9960,0))),"",HLOOKUP("start",ESLData!C$1:C$9960,MATCH($A1008,ESLData!$B$1:$B$9960,0)))</f>
        <v>Petrol</v>
      </c>
    </row>
    <row r="1009" spans="1:11" ht="14.25" customHeight="1" x14ac:dyDescent="0.2">
      <c r="A1009" s="144">
        <v>57299</v>
      </c>
      <c r="C1009" s="143">
        <f>HLOOKUP("start",ESLData!E$1:E$9960,MATCH($A1009,ESLData!$B$1:$B$9960,0))</f>
        <v>7533.28</v>
      </c>
      <c r="D1009" s="162">
        <f>ROUND(SUM(C1007:C1009),0)</f>
        <v>20075</v>
      </c>
      <c r="E1009" s="143">
        <f>HLOOKUP("start",ESLData!F$1:F$9960,MATCH($A1009,ESLData!$B$1:$B$9960,0))</f>
        <v>2500</v>
      </c>
      <c r="F1009" s="155">
        <f>ROUND(SUM(E1007:E1009),0)</f>
        <v>20000</v>
      </c>
      <c r="G1009" s="143">
        <f>HLOOKUP("start",ESLData!H$1:H$9960,MATCH($A1009,ESLData!$B$1:$B$9960,0))</f>
        <v>628.96</v>
      </c>
      <c r="H1009" s="162">
        <f>ROUND(SUM(G1007:G1009),0)</f>
        <v>7537</v>
      </c>
      <c r="J1009" s="156" t="s">
        <v>987</v>
      </c>
      <c r="K1009" s="142" t="str">
        <f>IF(ISNA(HLOOKUP("start",ESLData!C$1:C$9960,MATCH($A1009,ESLData!$B$1:$B$9960,0))),"",HLOOKUP("start",ESLData!C$1:C$9960,MATCH($A1009,ESLData!$B$1:$B$9960,0)))</f>
        <v>Grounds R &amp; M</v>
      </c>
    </row>
    <row r="1010" spans="1:11" ht="14.25" customHeight="1" x14ac:dyDescent="0.2">
      <c r="C1010" s="143"/>
      <c r="D1010" s="155"/>
      <c r="E1010" s="143"/>
      <c r="F1010" s="155"/>
      <c r="G1010" s="143"/>
      <c r="H1010" s="155"/>
      <c r="J1010" s="156"/>
    </row>
    <row r="1011" spans="1:11" ht="14.25" customHeight="1" x14ac:dyDescent="0.2">
      <c r="A1011" s="147" t="s">
        <v>424</v>
      </c>
      <c r="C1011" s="143"/>
      <c r="E1011" s="143"/>
      <c r="G1011" s="143"/>
      <c r="J1011" s="156" t="s">
        <v>987</v>
      </c>
      <c r="K1011" s="142" t="str">
        <f>IF(ISNA(HLOOKUP("start",ESLData!C$1:C$9960,MATCH($A1011,ESLData!$B$1:$B$9960,0))),"",HLOOKUP("start",ESLData!C$1:C$9960,MATCH($A1011,ESLData!$B$1:$B$9960,0)))</f>
        <v/>
      </c>
    </row>
    <row r="1012" spans="1:11" ht="14.25" customHeight="1" x14ac:dyDescent="0.2">
      <c r="A1012" s="144">
        <v>57320</v>
      </c>
      <c r="C1012" s="143">
        <f>HLOOKUP("start",ESLData!E$1:E$9960,MATCH($A1012,ESLData!$B$1:$B$9960,0))</f>
        <v>25934.87</v>
      </c>
      <c r="E1012" s="143">
        <f>HLOOKUP("start",ESLData!F$1:F$9960,MATCH($A1012,ESLData!$B$1:$B$9960,0))</f>
        <v>25000</v>
      </c>
      <c r="G1012" s="143">
        <f>HLOOKUP("start",ESLData!H$1:H$9960,MATCH($A1012,ESLData!$B$1:$B$9960,0))</f>
        <v>15681.32</v>
      </c>
      <c r="J1012" s="156" t="s">
        <v>987</v>
      </c>
      <c r="K1012" s="142" t="str">
        <f>IF(ISNA(HLOOKUP("start",ESLData!C$1:C$9960,MATCH($A1012,ESLData!$B$1:$B$9960,0))),"",HLOOKUP("start",ESLData!C$1:C$9960,MATCH($A1012,ESLData!$B$1:$B$9960,0)))</f>
        <v>Gas</v>
      </c>
    </row>
    <row r="1013" spans="1:11" ht="14.25" customHeight="1" x14ac:dyDescent="0.2">
      <c r="A1013" s="144">
        <v>57340</v>
      </c>
      <c r="C1013" s="143">
        <f>HLOOKUP("start",ESLData!E$1:E$9960,MATCH($A1013,ESLData!$B$1:$B$9960,0))</f>
        <v>136758.49</v>
      </c>
      <c r="E1013" s="143">
        <f>HLOOKUP("start",ESLData!F$1:F$9960,MATCH($A1013,ESLData!$B$1:$B$9960,0))</f>
        <v>131300</v>
      </c>
      <c r="G1013" s="143">
        <f>HLOOKUP("start",ESLData!H$1:H$9960,MATCH($A1013,ESLData!$B$1:$B$9960,0))</f>
        <v>103559.65</v>
      </c>
      <c r="J1013" s="156" t="s">
        <v>987</v>
      </c>
      <c r="K1013" s="142" t="str">
        <f>IF(ISNA(HLOOKUP("start",ESLData!C$1:C$9960,MATCH($A1013,ESLData!$B$1:$B$9960,0))),"",HLOOKUP("start",ESLData!C$1:C$9960,MATCH($A1013,ESLData!$B$1:$B$9960,0)))</f>
        <v>Power</v>
      </c>
    </row>
    <row r="1014" spans="1:11" ht="14.25" customHeight="1" x14ac:dyDescent="0.2">
      <c r="A1014" s="144">
        <v>57360</v>
      </c>
      <c r="C1014" s="143">
        <f>HLOOKUP("start",ESLData!E$1:E$9960,MATCH($A1014,ESLData!$B$1:$B$9960,0))</f>
        <v>40608.720000000001</v>
      </c>
      <c r="D1014" s="162">
        <f>ROUND(SUM(C1012:C1014),0)</f>
        <v>203302</v>
      </c>
      <c r="E1014" s="143">
        <f>HLOOKUP("start",ESLData!F$1:F$9960,MATCH($A1014,ESLData!$B$1:$B$9960,0))</f>
        <v>50000</v>
      </c>
      <c r="F1014" s="155">
        <f>ROUND(SUM(E1012:E1014),0)</f>
        <v>206300</v>
      </c>
      <c r="G1014" s="143">
        <f>HLOOKUP("start",ESLData!H$1:H$9960,MATCH($A1014,ESLData!$B$1:$B$9960,0))</f>
        <v>23159.93</v>
      </c>
      <c r="H1014" s="162">
        <f>ROUND(SUM(G1012:G1014),0)</f>
        <v>142401</v>
      </c>
      <c r="J1014" s="156" t="s">
        <v>987</v>
      </c>
      <c r="K1014" s="142" t="str">
        <f>IF(ISNA(HLOOKUP("start",ESLData!C$1:C$9960,MATCH($A1014,ESLData!$B$1:$B$9960,0))),"",HLOOKUP("start",ESLData!C$1:C$9960,MATCH($A1014,ESLData!$B$1:$B$9960,0)))</f>
        <v>Water</v>
      </c>
    </row>
    <row r="1015" spans="1:11" ht="14.25" customHeight="1" x14ac:dyDescent="0.2">
      <c r="C1015" s="143"/>
      <c r="D1015" s="155"/>
      <c r="E1015" s="143"/>
      <c r="F1015" s="155"/>
      <c r="G1015" s="143"/>
      <c r="H1015" s="155"/>
      <c r="J1015" s="156"/>
    </row>
    <row r="1016" spans="1:11" ht="14.25" customHeight="1" x14ac:dyDescent="0.2">
      <c r="A1016" s="147" t="s">
        <v>144</v>
      </c>
      <c r="C1016" s="143"/>
      <c r="D1016" s="148"/>
      <c r="E1016" s="143"/>
      <c r="F1016" s="148"/>
      <c r="G1016" s="143"/>
      <c r="H1016" s="148"/>
      <c r="J1016" s="156" t="s">
        <v>987</v>
      </c>
      <c r="K1016" s="142" t="str">
        <f>IF(ISNA(HLOOKUP("start",ESLData!C$1:C$9960,MATCH($A1016,ESLData!$B$1:$B$9960,0))),"",HLOOKUP("start",ESLData!C$1:C$9960,MATCH($A1016,ESLData!$B$1:$B$9960,0)))</f>
        <v/>
      </c>
    </row>
    <row r="1017" spans="1:11" ht="14.25" customHeight="1" x14ac:dyDescent="0.2">
      <c r="A1017" s="144">
        <v>57710</v>
      </c>
      <c r="C1017" s="143">
        <f>HLOOKUP("start",ESLData!E$1:E$9960,MATCH($A1017,ESLData!$B$1:$B$9960,0))</f>
        <v>3942.94</v>
      </c>
      <c r="E1017" s="143">
        <f>HLOOKUP("start",ESLData!F$1:F$9960,MATCH($A1017,ESLData!$B$1:$B$9960,0))</f>
        <v>3500</v>
      </c>
      <c r="G1017" s="143">
        <f>HLOOKUP("start",ESLData!H$1:H$9960,MATCH($A1017,ESLData!$B$1:$B$9960,0))</f>
        <v>2518.9499999999998</v>
      </c>
      <c r="J1017" s="156" t="s">
        <v>987</v>
      </c>
      <c r="K1017" s="142" t="str">
        <f>IF(ISNA(HLOOKUP("start",ESLData!C$1:C$9960,MATCH($A1017,ESLData!$B$1:$B$9960,0))),"",HLOOKUP("start",ESLData!C$1:C$9960,MATCH($A1017,ESLData!$B$1:$B$9960,0)))</f>
        <v>R&amp;M - Fire Sprinkler System</v>
      </c>
    </row>
    <row r="1018" spans="1:11" ht="14.25" customHeight="1" x14ac:dyDescent="0.2">
      <c r="A1018" s="144">
        <v>57260</v>
      </c>
      <c r="C1018" s="143">
        <f>HLOOKUP("start",ESLData!E$1:E$9960,MATCH($A1018,ESLData!$B$1:$B$9960,0))</f>
        <v>34936.18</v>
      </c>
      <c r="E1018" s="143">
        <f>HLOOKUP("start",ESLData!F$1:F$9960,MATCH($A1018,ESLData!$B$1:$B$9960,0))</f>
        <v>17500</v>
      </c>
      <c r="G1018" s="143">
        <f>HLOOKUP("start",ESLData!H$1:H$9960,MATCH($A1018,ESLData!$B$1:$B$9960,0))</f>
        <v>10210.36</v>
      </c>
      <c r="J1018" s="156" t="s">
        <v>987</v>
      </c>
      <c r="K1018" s="142" t="str">
        <f>IF(ISNA(HLOOKUP("start",ESLData!C$1:C$9960,MATCH($A1018,ESLData!$B$1:$B$9960,0))),"",HLOOKUP("start",ESLData!C$1:C$9960,MATCH($A1018,ESLData!$B$1:$B$9960,0)))</f>
        <v>Swimming Pool Costs</v>
      </c>
    </row>
    <row r="1019" spans="1:11" ht="14.25" customHeight="1" x14ac:dyDescent="0.2">
      <c r="A1019" s="144">
        <v>57850</v>
      </c>
      <c r="C1019" s="143">
        <f>HLOOKUP("start",ESLData!E$1:E$9960,MATCH($A1019,ESLData!$B$1:$B$9960,0))</f>
        <v>0</v>
      </c>
      <c r="D1019" s="162">
        <f>ROUND(SUM(C1017:C1019),0)</f>
        <v>38879</v>
      </c>
      <c r="E1019" s="143">
        <f>HLOOKUP("start",ESLData!F$1:F$9960,MATCH($A1019,ESLData!$B$1:$B$9960,0))</f>
        <v>0</v>
      </c>
      <c r="F1019" s="155">
        <f>ROUND(SUM(E1017:E1019),0)</f>
        <v>21000</v>
      </c>
      <c r="G1019" s="143">
        <f>HLOOKUP("start",ESLData!H$1:H$9960,MATCH($A1019,ESLData!$B$1:$B$9960,0))</f>
        <v>0</v>
      </c>
      <c r="H1019" s="162">
        <f>ROUND(SUM(G1017:G1019),0)</f>
        <v>12729</v>
      </c>
      <c r="J1019" s="156" t="s">
        <v>987</v>
      </c>
      <c r="K1019" s="142" t="str">
        <f>IF(ISNA(HLOOKUP("start",ESLData!C$1:C$9960,MATCH($A1019,ESLData!$B$1:$B$9960,0))),"",HLOOKUP("start",ESLData!C$1:C$9960,MATCH($A1019,ESLData!$B$1:$B$9960,0)))</f>
        <v>Rates - School Property/Land</v>
      </c>
    </row>
    <row r="1020" spans="1:11" ht="14.25" customHeight="1" x14ac:dyDescent="0.2">
      <c r="C1020" s="143"/>
      <c r="D1020" s="155"/>
      <c r="E1020" s="143"/>
      <c r="F1020" s="155"/>
      <c r="G1020" s="143"/>
      <c r="H1020" s="155"/>
      <c r="J1020" s="156"/>
    </row>
    <row r="1021" spans="1:11" ht="14.25" customHeight="1" x14ac:dyDescent="0.2">
      <c r="A1021" s="147" t="s">
        <v>417</v>
      </c>
      <c r="C1021" s="143"/>
      <c r="E1021" s="143"/>
      <c r="G1021" s="143"/>
      <c r="J1021" s="156" t="s">
        <v>987</v>
      </c>
      <c r="K1021" s="142" t="str">
        <f>IF(ISNA(HLOOKUP("start",ESLData!C$1:C$9960,MATCH($A1021,ESLData!$B$1:$B$9960,0))),"",HLOOKUP("start",ESLData!C$1:C$9960,MATCH($A1021,ESLData!$B$1:$B$9960,0)))</f>
        <v/>
      </c>
    </row>
    <row r="1022" spans="1:11" ht="14.25" customHeight="1" x14ac:dyDescent="0.2">
      <c r="A1022" s="144">
        <v>57600</v>
      </c>
      <c r="C1022" s="143">
        <f>HLOOKUP("start",ESLData!E$1:E$9960,MATCH($A1022,ESLData!$B$1:$B$9960,0))</f>
        <v>0</v>
      </c>
      <c r="D1022" s="148"/>
      <c r="E1022" s="143">
        <f>HLOOKUP("start",ESLData!F$1:F$9960,MATCH($A1022,ESLData!$B$1:$B$9960,0))</f>
        <v>0</v>
      </c>
      <c r="F1022" s="148"/>
      <c r="G1022" s="143">
        <f>HLOOKUP("start",ESLData!H$1:H$9960,MATCH($A1022,ESLData!$B$1:$B$9960,0))</f>
        <v>2025</v>
      </c>
      <c r="H1022" s="148"/>
      <c r="J1022" s="156" t="s">
        <v>987</v>
      </c>
      <c r="K1022" s="142" t="str">
        <f>IF(ISNA(HLOOKUP("start",ESLData!C$1:C$9960,MATCH($A1022,ESLData!$B$1:$B$9960,0))),"",HLOOKUP("start",ESLData!C$1:C$9960,MATCH($A1022,ESLData!$B$1:$B$9960,0)))</f>
        <v>Minor Capital Works</v>
      </c>
    </row>
    <row r="1023" spans="1:11" ht="14.25" customHeight="1" x14ac:dyDescent="0.2">
      <c r="A1023" s="144">
        <v>57620</v>
      </c>
      <c r="C1023" s="143">
        <f>HLOOKUP("start",ESLData!E$1:E$9960,MATCH($A1023,ESLData!$B$1:$B$9960,0))</f>
        <v>0</v>
      </c>
      <c r="E1023" s="143">
        <f>HLOOKUP("start",ESLData!F$1:F$9960,MATCH($A1023,ESLData!$B$1:$B$9960,0))</f>
        <v>0</v>
      </c>
      <c r="G1023" s="143">
        <f>HLOOKUP("start",ESLData!H$1:H$9960,MATCH($A1023,ESLData!$B$1:$B$9960,0))</f>
        <v>0</v>
      </c>
      <c r="J1023" s="156" t="s">
        <v>987</v>
      </c>
      <c r="K1023" s="142" t="str">
        <f>IF(ISNA(HLOOKUP("start",ESLData!C$1:C$9960,MATCH($A1023,ESLData!$B$1:$B$9960,0))),"",HLOOKUP("start",ESLData!C$1:C$9960,MATCH($A1023,ESLData!$B$1:$B$9960,0)))</f>
        <v>Painting</v>
      </c>
    </row>
    <row r="1024" spans="1:11" ht="14.25" customHeight="1" x14ac:dyDescent="0.2">
      <c r="A1024" s="144">
        <v>57630</v>
      </c>
      <c r="C1024" s="143">
        <f>HLOOKUP("start",ESLData!E$1:E$9960,MATCH($A1024,ESLData!$B$1:$B$9960,0))</f>
        <v>7264.73</v>
      </c>
      <c r="E1024" s="143">
        <f>HLOOKUP("start",ESLData!F$1:F$9960,MATCH($A1024,ESLData!$B$1:$B$9960,0))</f>
        <v>8500</v>
      </c>
      <c r="G1024" s="143">
        <f>HLOOKUP("start",ESLData!H$1:H$9960,MATCH($A1024,ESLData!$B$1:$B$9960,0))</f>
        <v>7622.54</v>
      </c>
      <c r="J1024" s="156" t="s">
        <v>987</v>
      </c>
      <c r="K1024" s="142" t="str">
        <f>IF(ISNA(HLOOKUP("start",ESLData!C$1:C$9960,MATCH($A1024,ESLData!$B$1:$B$9960,0))),"",HLOOKUP("start",ESLData!C$1:C$9960,MATCH($A1024,ESLData!$B$1:$B$9960,0)))</f>
        <v>Consumables</v>
      </c>
    </row>
    <row r="1025" spans="1:11" ht="14.25" customHeight="1" x14ac:dyDescent="0.2">
      <c r="A1025" s="144">
        <v>57605</v>
      </c>
      <c r="C1025" s="143">
        <f>HLOOKUP("start",ESLData!E$1:E$9960,MATCH($A1025,ESLData!$B$1:$B$9960,0))</f>
        <v>30587.95</v>
      </c>
      <c r="E1025" s="143">
        <f>HLOOKUP("start",ESLData!F$1:F$9960,MATCH($A1025,ESLData!$B$1:$B$9960,0))</f>
        <v>34000</v>
      </c>
      <c r="G1025" s="143">
        <f>HLOOKUP("start",ESLData!H$1:H$9960,MATCH($A1025,ESLData!$B$1:$B$9960,0))</f>
        <v>32279.22</v>
      </c>
      <c r="J1025" s="156" t="s">
        <v>987</v>
      </c>
      <c r="K1025" s="142" t="str">
        <f>IF(ISNA(HLOOKUP("start",ESLData!C$1:C$9960,MATCH($A1025,ESLData!$B$1:$B$9960,0))),"",HLOOKUP("start",ESLData!C$1:C$9960,MATCH($A1025,ESLData!$B$1:$B$9960,0)))</f>
        <v>Building Servicing expenses</v>
      </c>
    </row>
    <row r="1026" spans="1:11" ht="14.25" customHeight="1" x14ac:dyDescent="0.2">
      <c r="A1026" s="144">
        <v>57660</v>
      </c>
      <c r="C1026" s="143">
        <f>HLOOKUP("start",ESLData!E$1:E$9960,MATCH($A1026,ESLData!$B$1:$B$9960,0))</f>
        <v>151380.92000000001</v>
      </c>
      <c r="E1026" s="143">
        <f>HLOOKUP("start",ESLData!F$1:F$9960,MATCH($A1026,ESLData!$B$1:$B$9960,0))</f>
        <v>210000</v>
      </c>
      <c r="G1026" s="143">
        <f>HLOOKUP("start",ESLData!H$1:H$9960,MATCH($A1026,ESLData!$B$1:$B$9960,0))</f>
        <v>43712.959999999999</v>
      </c>
      <c r="J1026" s="156" t="s">
        <v>987</v>
      </c>
      <c r="K1026" s="142" t="str">
        <f>IF(ISNA(HLOOKUP("start",ESLData!C$1:C$9960,MATCH($A1026,ESLData!$B$1:$B$9960,0))),"",HLOOKUP("start",ESLData!C$1:C$9960,MATCH($A1026,ESLData!$B$1:$B$9960,0)))</f>
        <v>R&amp;M - Buildings</v>
      </c>
    </row>
    <row r="1027" spans="1:11" ht="14.25" customHeight="1" x14ac:dyDescent="0.2">
      <c r="A1027" s="144">
        <v>57665</v>
      </c>
      <c r="C1027" s="143">
        <f>HLOOKUP("start",ESLData!E$1:E$9960,MATCH($A1027,ESLData!$B$1:$B$9960,0))</f>
        <v>3962.06</v>
      </c>
      <c r="E1027" s="143">
        <f>HLOOKUP("start",ESLData!F$1:F$9960,MATCH($A1027,ESLData!$B$1:$B$9960,0))</f>
        <v>6000</v>
      </c>
      <c r="G1027" s="143">
        <f>HLOOKUP("start",ESLData!H$1:H$9960,MATCH($A1027,ESLData!$B$1:$B$9960,0))</f>
        <v>7761.6</v>
      </c>
      <c r="J1027" s="156" t="s">
        <v>987</v>
      </c>
      <c r="K1027" s="142" t="str">
        <f>IF(ISNA(HLOOKUP("start",ESLData!C$1:C$9960,MATCH($A1027,ESLData!$B$1:$B$9960,0))),"",HLOOKUP("start",ESLData!C$1:C$9960,MATCH($A1027,ESLData!$B$1:$B$9960,0)))</f>
        <v>R &amp; M Buildings - Tauranga</v>
      </c>
    </row>
    <row r="1028" spans="1:11" ht="14.25" customHeight="1" x14ac:dyDescent="0.2">
      <c r="A1028" s="144">
        <v>57760</v>
      </c>
      <c r="C1028" s="143">
        <f>HLOOKUP("start",ESLData!E$1:E$9960,MATCH($A1028,ESLData!$B$1:$B$9960,0))</f>
        <v>0</v>
      </c>
      <c r="D1028" s="162">
        <f>ROUND(SUM(C1022:C1028),0)</f>
        <v>193196</v>
      </c>
      <c r="E1028" s="143">
        <f>HLOOKUP("start",ESLData!F$1:F$9960,MATCH($A1028,ESLData!$B$1:$B$9960,0))</f>
        <v>0</v>
      </c>
      <c r="F1028" s="155">
        <f>ROUND(SUM(E1022:E1028),0)</f>
        <v>258500</v>
      </c>
      <c r="G1028" s="143">
        <f>HLOOKUP("start",ESLData!H$1:H$9960,MATCH($A1028,ESLData!$B$1:$B$9960,0))</f>
        <v>0</v>
      </c>
      <c r="H1028" s="162">
        <f>ROUND(SUM(G1022:G1028),0)</f>
        <v>93401</v>
      </c>
      <c r="J1028" s="156" t="s">
        <v>987</v>
      </c>
      <c r="K1028" s="142" t="str">
        <f>IF(ISNA(HLOOKUP("start",ESLData!C$1:C$9960,MATCH($A1028,ESLData!$B$1:$B$9960,0))),"",HLOOKUP("start",ESLData!C$1:C$9960,MATCH($A1028,ESLData!$B$1:$B$9960,0)))</f>
        <v>Vandalism</v>
      </c>
    </row>
    <row r="1029" spans="1:11" ht="14.25" customHeight="1" x14ac:dyDescent="0.2">
      <c r="J1029" s="156" t="s">
        <v>987</v>
      </c>
      <c r="K1029" s="142" t="str">
        <f>IF(ISNA(HLOOKUP("start",ESLData!C$1:C$9960,MATCH($A1029,ESLData!$B$1:$B$9960,0))),"",HLOOKUP("start",ESLData!C$1:C$9960,MATCH($A1029,ESLData!$B$1:$B$9960,0)))</f>
        <v/>
      </c>
    </row>
    <row r="1030" spans="1:11" ht="14.25" customHeight="1" x14ac:dyDescent="0.2">
      <c r="A1030" s="147" t="s">
        <v>425</v>
      </c>
      <c r="C1030" s="143"/>
      <c r="E1030" s="143"/>
      <c r="G1030" s="143"/>
      <c r="J1030" s="156" t="s">
        <v>987</v>
      </c>
      <c r="K1030" s="142" t="str">
        <f>IF(ISNA(HLOOKUP("start",ESLData!C$1:C$9960,MATCH($A1030,ESLData!$B$1:$B$9960,0))),"",HLOOKUP("start",ESLData!C$1:C$9960,MATCH($A1030,ESLData!$B$1:$B$9960,0)))</f>
        <v/>
      </c>
    </row>
    <row r="1031" spans="1:11" ht="14.25" customHeight="1" x14ac:dyDescent="0.2">
      <c r="A1031" s="144">
        <v>1905</v>
      </c>
      <c r="C1031" s="143">
        <f>HLOOKUP("start",ESLData!E$1:E$9960,MATCH($A1031,ESLData!$B$1:$B$9960,0))</f>
        <v>2193216.8199999998</v>
      </c>
      <c r="D1031" s="163">
        <f>ROUND(SUM(C1031),0)</f>
        <v>2193217</v>
      </c>
      <c r="E1031" s="143">
        <f>HLOOKUP("start",ESLData!F$1:F$9960,MATCH($A1031,ESLData!$B$1:$B$9960,0))</f>
        <v>1420415</v>
      </c>
      <c r="F1031" s="148">
        <f>ROUND(SUM(E1031),0)</f>
        <v>1420415</v>
      </c>
      <c r="G1031" s="164">
        <f>HLOOKUP("start",ESLData!H$1:H$9960,MATCH($A1031,ESLData!$B$1:$B$9960,0))</f>
        <v>1633477</v>
      </c>
      <c r="H1031" s="148">
        <f>ROUND(SUM(G1031),0)</f>
        <v>1633477</v>
      </c>
      <c r="J1031" s="156" t="s">
        <v>987</v>
      </c>
      <c r="K1031" s="142" t="str">
        <f>IF(ISNA(HLOOKUP("start",ESLData!C$1:C$9960,MATCH($A1031,ESLData!$B$1:$B$9960,0))),"",HLOOKUP("start",ESLData!C$1:C$9960,MATCH($A1031,ESLData!$B$1:$B$9960,0)))</f>
        <v>Use of Land and Buildings</v>
      </c>
    </row>
    <row r="1032" spans="1:11" ht="14.25" customHeight="1" x14ac:dyDescent="0.2">
      <c r="A1032" s="147" t="s">
        <v>808</v>
      </c>
      <c r="C1032" s="143"/>
      <c r="E1032" s="143"/>
      <c r="G1032" s="143"/>
      <c r="J1032" s="156" t="s">
        <v>987</v>
      </c>
      <c r="K1032" s="142" t="str">
        <f>IF(ISNA(HLOOKUP("start",ESLData!C$1:C$9960,MATCH($A1032,ESLData!$B$1:$B$9960,0))),"",HLOOKUP("start",ESLData!C$1:C$9960,MATCH($A1032,ESLData!$B$1:$B$9960,0)))</f>
        <v/>
      </c>
    </row>
    <row r="1033" spans="1:11" ht="14.25" customHeight="1" x14ac:dyDescent="0.2">
      <c r="A1033" s="144">
        <v>57740</v>
      </c>
      <c r="C1033" s="143">
        <f>HLOOKUP("start",ESLData!E$1:E$9960,MATCH($A1033,ESLData!$B$1:$B$9960,0))</f>
        <v>12178.96</v>
      </c>
      <c r="D1033" s="163">
        <f>ROUND(SUM(C1033),0)</f>
        <v>12179</v>
      </c>
      <c r="E1033" s="143">
        <f>HLOOKUP("start",ESLData!F$1:F$9960,MATCH($A1033,ESLData!$B$1:$B$9960,0))</f>
        <v>9500</v>
      </c>
      <c r="F1033" s="148">
        <f>ROUND(SUM(E1033),0)</f>
        <v>9500</v>
      </c>
      <c r="G1033" s="164">
        <f>HLOOKUP("start",ESLData!H$1:H$9960,MATCH($A1033,ESLData!$B$1:$B$9960,0))</f>
        <v>10512.87</v>
      </c>
      <c r="H1033" s="148">
        <f>ROUND(SUM(G1033),0)</f>
        <v>10513</v>
      </c>
      <c r="J1033" s="156" t="s">
        <v>987</v>
      </c>
      <c r="K1033" s="142" t="str">
        <f>IF(ISNA(HLOOKUP("start",ESLData!C$1:C$9960,MATCH($A1033,ESLData!$B$1:$B$9960,0))),"",HLOOKUP("start",ESLData!C$1:C$9960,MATCH($A1033,ESLData!$B$1:$B$9960,0)))</f>
        <v>Security</v>
      </c>
    </row>
    <row r="1034" spans="1:11" ht="14.25" customHeight="1" x14ac:dyDescent="0.2">
      <c r="A1034" s="147" t="s">
        <v>633</v>
      </c>
      <c r="C1034" s="143"/>
      <c r="E1034" s="143"/>
      <c r="G1034" s="143"/>
      <c r="J1034" s="156" t="s">
        <v>987</v>
      </c>
      <c r="K1034" s="142" t="str">
        <f>IF(ISNA(HLOOKUP("start",ESLData!C$1:C$9960,MATCH($A1034,ESLData!$B$1:$B$9960,0))),"",HLOOKUP("start",ESLData!C$1:C$9960,MATCH($A1034,ESLData!$B$1:$B$9960,0)))</f>
        <v/>
      </c>
    </row>
    <row r="1035" spans="1:11" ht="14.25" customHeight="1" x14ac:dyDescent="0.2">
      <c r="A1035" s="144">
        <v>57420</v>
      </c>
      <c r="C1035" s="143">
        <f>HLOOKUP("start",ESLData!E$1:E$9960,MATCH($A1035,ESLData!$B$1:$B$9960,0))</f>
        <v>196861.98</v>
      </c>
      <c r="E1035" s="143">
        <f>HLOOKUP("start",ESLData!F$1:F$9960,MATCH($A1035,ESLData!$B$1:$B$9960,0))</f>
        <v>181550</v>
      </c>
      <c r="G1035" s="143">
        <f>HLOOKUP("start",ESLData!H$1:H$9960,MATCH($A1035,ESLData!$B$1:$B$9960,0))</f>
        <v>160410.44</v>
      </c>
      <c r="J1035" s="156" t="s">
        <v>987</v>
      </c>
      <c r="K1035" s="142" t="str">
        <f>IF(ISNA(HLOOKUP("start",ESLData!C$1:C$9960,MATCH($A1035,ESLData!$B$1:$B$9960,0))),"",HLOOKUP("start",ESLData!C$1:C$9960,MATCH($A1035,ESLData!$B$1:$B$9960,0)))</f>
        <v>Caretaker</v>
      </c>
    </row>
    <row r="1036" spans="1:11" ht="14.25" customHeight="1" x14ac:dyDescent="0.2">
      <c r="A1036" s="144">
        <v>57485</v>
      </c>
      <c r="C1036" s="143">
        <f>HLOOKUP("start",ESLData!E$1:E$9960,MATCH($A1036,ESLData!$B$1:$B$9960,0))</f>
        <v>0</v>
      </c>
      <c r="E1036" s="143">
        <f>HLOOKUP("start",ESLData!F$1:F$9960,MATCH($A1036,ESLData!$B$1:$B$9960,0))</f>
        <v>1000</v>
      </c>
      <c r="G1036" s="143">
        <f>HLOOKUP("start",ESLData!H$1:H$9960,MATCH($A1036,ESLData!$B$1:$B$9960,0))</f>
        <v>0</v>
      </c>
      <c r="J1036" s="156" t="s">
        <v>987</v>
      </c>
      <c r="K1036" s="142" t="str">
        <f>IF(ISNA(HLOOKUP("start",ESLData!C$1:C$9960,MATCH($A1036,ESLData!$B$1:$B$9960,0))),"",HLOOKUP("start",ESLData!C$1:C$9960,MATCH($A1036,ESLData!$B$1:$B$9960,0)))</f>
        <v>Training</v>
      </c>
    </row>
    <row r="1037" spans="1:11" ht="14.25" customHeight="1" x14ac:dyDescent="0.2">
      <c r="A1037" s="144">
        <v>57487</v>
      </c>
      <c r="C1037" s="143">
        <f>HLOOKUP("start",ESLData!E$1:E$9960,MATCH($A1037,ESLData!$B$1:$B$9960,0))</f>
        <v>0</v>
      </c>
      <c r="D1037" s="162">
        <f>ROUND(SUM(C1035:C1037),0)</f>
        <v>196862</v>
      </c>
      <c r="E1037" s="143">
        <f>HLOOKUP("start",ESLData!F$1:F$9960,MATCH($A1037,ESLData!$B$1:$B$9960,0))</f>
        <v>400</v>
      </c>
      <c r="F1037" s="155">
        <f>ROUND(SUM(E1035:E1037),0)</f>
        <v>182950</v>
      </c>
      <c r="G1037" s="143">
        <f>HLOOKUP("start",ESLData!H$1:H$9960,MATCH($A1037,ESLData!$B$1:$B$9960,0))</f>
        <v>0</v>
      </c>
      <c r="H1037" s="162">
        <f>ROUND(SUM(G1035:G1037),0)</f>
        <v>160410</v>
      </c>
      <c r="J1037" s="156" t="s">
        <v>987</v>
      </c>
      <c r="K1037" s="142" t="str">
        <f>IF(ISNA(HLOOKUP("start",ESLData!C$1:C$9960,MATCH($A1037,ESLData!$B$1:$B$9960,0))),"",HLOOKUP("start",ESLData!C$1:C$9960,MATCH($A1037,ESLData!$B$1:$B$9960,0)))</f>
        <v>Protective Gear</v>
      </c>
    </row>
    <row r="1038" spans="1:11" ht="14.25" customHeight="1" x14ac:dyDescent="0.2">
      <c r="A1038" s="147" t="s">
        <v>674</v>
      </c>
      <c r="C1038" s="143"/>
      <c r="E1038" s="143"/>
      <c r="G1038" s="143"/>
      <c r="J1038" s="156" t="s">
        <v>987</v>
      </c>
      <c r="K1038" s="142" t="str">
        <f>IF(ISNA(HLOOKUP("start",ESLData!C$1:C$9960,MATCH($A1038,ESLData!$B$1:$B$9960,0))),"",HLOOKUP("start",ESLData!C$1:C$9960,MATCH($A1038,ESLData!$B$1:$B$9960,0)))</f>
        <v/>
      </c>
    </row>
    <row r="1039" spans="1:11" ht="14.25" customHeight="1" x14ac:dyDescent="0.2">
      <c r="A1039" s="144">
        <v>60860</v>
      </c>
      <c r="C1039" s="143">
        <f>HLOOKUP("start",ESLData!E$1:E$9960,MATCH($A1039,ESLData!$B$1:$B$9960,0))</f>
        <v>0</v>
      </c>
      <c r="E1039" s="143">
        <f>HLOOKUP("start",ESLData!F$1:F$9960,MATCH($A1039,ESLData!$B$1:$B$9960,0))</f>
        <v>0</v>
      </c>
      <c r="G1039" s="143">
        <f>HLOOKUP("start",ESLData!H$1:H$9960,MATCH($A1039,ESLData!$B$1:$B$9960,0))</f>
        <v>0</v>
      </c>
      <c r="J1039" s="156" t="s">
        <v>987</v>
      </c>
      <c r="K1039" s="142" t="str">
        <f>IF(ISNA(HLOOKUP("start",ESLData!C$1:C$9960,MATCH($A1039,ESLData!$B$1:$B$9960,0))),"",HLOOKUP("start",ESLData!C$1:C$9960,MATCH($A1039,ESLData!$B$1:$B$9960,0)))</f>
        <v>Property Rental Costs</v>
      </c>
    </row>
    <row r="1040" spans="1:11" ht="14.25" customHeight="1" x14ac:dyDescent="0.2">
      <c r="A1040" s="144">
        <v>34765</v>
      </c>
      <c r="C1040" s="143">
        <f>HLOOKUP("start",ESLData!E$1:E$9960,MATCH($A1040,ESLData!$B$1:$B$9960,0))</f>
        <v>0</v>
      </c>
      <c r="E1040" s="143">
        <f>HLOOKUP("start",ESLData!F$1:F$9960,MATCH($A1040,ESLData!$B$1:$B$9960,0))</f>
        <v>0</v>
      </c>
      <c r="G1040" s="143">
        <f>HLOOKUP("start",ESLData!H$1:H$9960,MATCH($A1040,ESLData!$B$1:$B$9960,0))</f>
        <v>0</v>
      </c>
      <c r="J1040" s="156" t="s">
        <v>987</v>
      </c>
      <c r="K1040" s="142" t="str">
        <f>IF(ISNA(HLOOKUP("start",ESLData!C$1:C$9960,MATCH($A1040,ESLData!$B$1:$B$9960,0))),"",HLOOKUP("start",ESLData!C$1:C$9960,MATCH($A1040,ESLData!$B$1:$B$9960,0)))</f>
        <v>Premises Rental - Kelburn</v>
      </c>
    </row>
    <row r="1041" spans="1:11" ht="14.25" customHeight="1" x14ac:dyDescent="0.2">
      <c r="A1041" s="144">
        <v>35125</v>
      </c>
      <c r="C1041" s="143">
        <f>HLOOKUP("start",ESLData!E$1:E$9960,MATCH($A1041,ESLData!$B$1:$B$9960,0))</f>
        <v>0</v>
      </c>
      <c r="E1041" s="143">
        <f>HLOOKUP("start",ESLData!F$1:F$9960,MATCH($A1041,ESLData!$B$1:$B$9960,0))</f>
        <v>0</v>
      </c>
      <c r="G1041" s="143">
        <f>HLOOKUP("start",ESLData!H$1:H$9960,MATCH($A1041,ESLData!$B$1:$B$9960,0))</f>
        <v>0</v>
      </c>
      <c r="J1041" s="156" t="s">
        <v>987</v>
      </c>
      <c r="K1041" s="142" t="str">
        <f>IF(ISNA(HLOOKUP("start",ESLData!C$1:C$9960,MATCH($A1041,ESLData!$B$1:$B$9960,0))),"",HLOOKUP("start",ESLData!C$1:C$9960,MATCH($A1041,ESLData!$B$1:$B$9960,0)))</f>
        <v>Property Rental Auck Vrc</v>
      </c>
    </row>
    <row r="1042" spans="1:11" ht="14.25" customHeight="1" x14ac:dyDescent="0.2">
      <c r="A1042" s="144">
        <v>35320</v>
      </c>
      <c r="C1042" s="143">
        <f>HLOOKUP("start",ESLData!E$1:E$9960,MATCH($A1042,ESLData!$B$1:$B$9960,0))</f>
        <v>0</v>
      </c>
      <c r="E1042" s="143">
        <f>HLOOKUP("start",ESLData!F$1:F$9960,MATCH($A1042,ESLData!$B$1:$B$9960,0))</f>
        <v>0</v>
      </c>
      <c r="G1042" s="143">
        <f>HLOOKUP("start",ESLData!H$1:H$9960,MATCH($A1042,ESLData!$B$1:$B$9960,0))</f>
        <v>0</v>
      </c>
      <c r="J1042" s="156" t="s">
        <v>987</v>
      </c>
      <c r="K1042" s="142" t="str">
        <f>IF(ISNA(HLOOKUP("start",ESLData!C$1:C$9960,MATCH($A1042,ESLData!$B$1:$B$9960,0))),"",HLOOKUP("start",ESLData!C$1:C$9960,MATCH($A1042,ESLData!$B$1:$B$9960,0)))</f>
        <v>Property Rental - External</v>
      </c>
    </row>
    <row r="1043" spans="1:11" ht="14.25" customHeight="1" x14ac:dyDescent="0.2">
      <c r="A1043" s="144">
        <v>35620</v>
      </c>
      <c r="C1043" s="143">
        <f>HLOOKUP("start",ESLData!E$1:E$9960,MATCH($A1043,ESLData!$B$1:$B$9960,0))</f>
        <v>0</v>
      </c>
      <c r="E1043" s="143">
        <f>HLOOKUP("start",ESLData!F$1:F$9960,MATCH($A1043,ESLData!$B$1:$B$9960,0))</f>
        <v>0</v>
      </c>
      <c r="G1043" s="143">
        <f>HLOOKUP("start",ESLData!H$1:H$9960,MATCH($A1043,ESLData!$B$1:$B$9960,0))</f>
        <v>0</v>
      </c>
      <c r="J1043" s="156" t="s">
        <v>987</v>
      </c>
      <c r="K1043" s="142" t="str">
        <f>IF(ISNA(HLOOKUP("start",ESLData!C$1:C$9960,MATCH($A1043,ESLData!$B$1:$B$9960,0))),"",HLOOKUP("start",ESLData!C$1:C$9960,MATCH($A1043,ESLData!$B$1:$B$9960,0)))</f>
        <v>Southland - Property Rental - External</v>
      </c>
    </row>
    <row r="1044" spans="1:11" ht="14.25" customHeight="1" x14ac:dyDescent="0.2">
      <c r="A1044" s="144">
        <v>39005</v>
      </c>
      <c r="C1044" s="143">
        <f>HLOOKUP("start",ESLData!E$1:E$9960,MATCH($A1044,ESLData!$B$1:$B$9960,0))</f>
        <v>0</v>
      </c>
      <c r="E1044" s="143">
        <f>HLOOKUP("start",ESLData!F$1:F$9960,MATCH($A1044,ESLData!$B$1:$B$9960,0))</f>
        <v>0</v>
      </c>
      <c r="G1044" s="143">
        <f>HLOOKUP("start",ESLData!H$1:H$9960,MATCH($A1044,ESLData!$B$1:$B$9960,0))</f>
        <v>0</v>
      </c>
      <c r="J1044" s="156" t="s">
        <v>987</v>
      </c>
      <c r="K1044" s="142" t="str">
        <f>IF(ISNA(HLOOKUP("start",ESLData!C$1:C$9960,MATCH($A1044,ESLData!$B$1:$B$9960,0))),"",HLOOKUP("start",ESLData!C$1:C$9960,MATCH($A1044,ESLData!$B$1:$B$9960,0)))</f>
        <v>Property Rental - External</v>
      </c>
    </row>
    <row r="1045" spans="1:11" ht="14.25" customHeight="1" x14ac:dyDescent="0.2">
      <c r="A1045" s="144">
        <v>39055</v>
      </c>
      <c r="C1045" s="143">
        <f>HLOOKUP("start",ESLData!E$1:E$9960,MATCH($A1045,ESLData!$B$1:$B$9960,0))</f>
        <v>0</v>
      </c>
      <c r="E1045" s="143">
        <f>HLOOKUP("start",ESLData!F$1:F$9960,MATCH($A1045,ESLData!$B$1:$B$9960,0))</f>
        <v>0</v>
      </c>
      <c r="G1045" s="143">
        <f>HLOOKUP("start",ESLData!H$1:H$9960,MATCH($A1045,ESLData!$B$1:$B$9960,0))</f>
        <v>0</v>
      </c>
      <c r="J1045" s="156" t="s">
        <v>987</v>
      </c>
      <c r="K1045" s="142" t="str">
        <f>IF(ISNA(HLOOKUP("start",ESLData!C$1:C$9960,MATCH($A1045,ESLData!$B$1:$B$9960,0))),"",HLOOKUP("start",ESLData!C$1:C$9960,MATCH($A1045,ESLData!$B$1:$B$9960,0)))</f>
        <v>Christchurch - Property</v>
      </c>
    </row>
    <row r="1046" spans="1:11" ht="14.25" customHeight="1" x14ac:dyDescent="0.2">
      <c r="A1046" s="144">
        <v>39105</v>
      </c>
      <c r="C1046" s="143">
        <f>HLOOKUP("start",ESLData!E$1:E$9960,MATCH($A1046,ESLData!$B$1:$B$9960,0))</f>
        <v>0</v>
      </c>
      <c r="E1046" s="143">
        <f>HLOOKUP("start",ESLData!F$1:F$9960,MATCH($A1046,ESLData!$B$1:$B$9960,0))</f>
        <v>0</v>
      </c>
      <c r="G1046" s="143">
        <f>HLOOKUP("start",ESLData!H$1:H$9960,MATCH($A1046,ESLData!$B$1:$B$9960,0))</f>
        <v>0</v>
      </c>
      <c r="J1046" s="156" t="s">
        <v>987</v>
      </c>
      <c r="K1046" s="142" t="str">
        <f>IF(ISNA(HLOOKUP("start",ESLData!C$1:C$9960,MATCH($A1046,ESLData!$B$1:$B$9960,0))),"",HLOOKUP("start",ESLData!C$1:C$9960,MATCH($A1046,ESLData!$B$1:$B$9960,0)))</f>
        <v>Property Rental - External</v>
      </c>
    </row>
    <row r="1047" spans="1:11" ht="14.25" customHeight="1" x14ac:dyDescent="0.2">
      <c r="A1047" s="144">
        <v>39155</v>
      </c>
      <c r="C1047" s="143">
        <f>HLOOKUP("start",ESLData!E$1:E$9960,MATCH($A1047,ESLData!$B$1:$B$9960,0))</f>
        <v>0</v>
      </c>
      <c r="E1047" s="143">
        <f>HLOOKUP("start",ESLData!F$1:F$9960,MATCH($A1047,ESLData!$B$1:$B$9960,0))</f>
        <v>0</v>
      </c>
      <c r="G1047" s="143">
        <f>HLOOKUP("start",ESLData!H$1:H$9960,MATCH($A1047,ESLData!$B$1:$B$9960,0))</f>
        <v>0</v>
      </c>
      <c r="J1047" s="156" t="s">
        <v>987</v>
      </c>
      <c r="K1047" s="142" t="str">
        <f>IF(ISNA(HLOOKUP("start",ESLData!C$1:C$9960,MATCH($A1047,ESLData!$B$1:$B$9960,0))),"",HLOOKUP("start",ESLData!C$1:C$9960,MATCH($A1047,ESLData!$B$1:$B$9960,0)))</f>
        <v>Property Rental - External</v>
      </c>
    </row>
    <row r="1048" spans="1:11" ht="14.25" customHeight="1" x14ac:dyDescent="0.2">
      <c r="A1048" s="144">
        <v>39205</v>
      </c>
      <c r="C1048" s="143">
        <f>HLOOKUP("start",ESLData!E$1:E$9960,MATCH($A1048,ESLData!$B$1:$B$9960,0))</f>
        <v>0</v>
      </c>
      <c r="E1048" s="143">
        <f>HLOOKUP("start",ESLData!F$1:F$9960,MATCH($A1048,ESLData!$B$1:$B$9960,0))</f>
        <v>0</v>
      </c>
      <c r="G1048" s="143">
        <f>HLOOKUP("start",ESLData!H$1:H$9960,MATCH($A1048,ESLData!$B$1:$B$9960,0))</f>
        <v>0</v>
      </c>
      <c r="J1048" s="156" t="s">
        <v>987</v>
      </c>
      <c r="K1048" s="142" t="str">
        <f>IF(ISNA(HLOOKUP("start",ESLData!C$1:C$9960,MATCH($A1048,ESLData!$B$1:$B$9960,0))),"",HLOOKUP("start",ESLData!C$1:C$9960,MATCH($A1048,ESLData!$B$1:$B$9960,0)))</f>
        <v>Property Rental - External</v>
      </c>
    </row>
    <row r="1049" spans="1:11" ht="14.25" customHeight="1" x14ac:dyDescent="0.2">
      <c r="A1049" s="144">
        <v>39255</v>
      </c>
      <c r="C1049" s="143">
        <f>HLOOKUP("start",ESLData!E$1:E$9960,MATCH($A1049,ESLData!$B$1:$B$9960,0))</f>
        <v>0</v>
      </c>
      <c r="E1049" s="143">
        <f>HLOOKUP("start",ESLData!F$1:F$9960,MATCH($A1049,ESLData!$B$1:$B$9960,0))</f>
        <v>0</v>
      </c>
      <c r="G1049" s="143">
        <f>HLOOKUP("start",ESLData!H$1:H$9960,MATCH($A1049,ESLData!$B$1:$B$9960,0))</f>
        <v>0</v>
      </c>
      <c r="J1049" s="156" t="s">
        <v>987</v>
      </c>
      <c r="K1049" s="142" t="str">
        <f>IF(ISNA(HLOOKUP("start",ESLData!C$1:C$9960,MATCH($A1049,ESLData!$B$1:$B$9960,0))),"",HLOOKUP("start",ESLData!C$1:C$9960,MATCH($A1049,ESLData!$B$1:$B$9960,0)))</f>
        <v>Property Rental - External</v>
      </c>
    </row>
    <row r="1050" spans="1:11" ht="14.25" customHeight="1" x14ac:dyDescent="0.2">
      <c r="A1050" s="144">
        <v>39283</v>
      </c>
      <c r="C1050" s="143">
        <f>HLOOKUP("start",ESLData!E$1:E$9960,MATCH($A1050,ESLData!$B$1:$B$9960,0))</f>
        <v>0</v>
      </c>
      <c r="E1050" s="143">
        <f>HLOOKUP("start",ESLData!F$1:F$9960,MATCH($A1050,ESLData!$B$1:$B$9960,0))</f>
        <v>0</v>
      </c>
      <c r="G1050" s="143">
        <f>HLOOKUP("start",ESLData!H$1:H$9960,MATCH($A1050,ESLData!$B$1:$B$9960,0))</f>
        <v>0</v>
      </c>
      <c r="J1050" s="156" t="s">
        <v>987</v>
      </c>
      <c r="K1050" s="142" t="str">
        <f>IF(ISNA(HLOOKUP("start",ESLData!C$1:C$9960,MATCH($A1050,ESLData!$B$1:$B$9960,0))),"",HLOOKUP("start",ESLData!C$1:C$9960,MATCH($A1050,ESLData!$B$1:$B$9960,0)))</f>
        <v>Vehicle Rental</v>
      </c>
    </row>
    <row r="1051" spans="1:11" ht="14.25" customHeight="1" x14ac:dyDescent="0.2">
      <c r="A1051" s="144">
        <v>39305</v>
      </c>
      <c r="C1051" s="143">
        <f>HLOOKUP("start",ESLData!E$1:E$9960,MATCH($A1051,ESLData!$B$1:$B$9960,0))</f>
        <v>0</v>
      </c>
      <c r="E1051" s="143">
        <f>HLOOKUP("start",ESLData!F$1:F$9960,MATCH($A1051,ESLData!$B$1:$B$9960,0))</f>
        <v>0</v>
      </c>
      <c r="G1051" s="143">
        <f>HLOOKUP("start",ESLData!H$1:H$9960,MATCH($A1051,ESLData!$B$1:$B$9960,0))</f>
        <v>224.37</v>
      </c>
      <c r="J1051" s="156" t="s">
        <v>987</v>
      </c>
      <c r="K1051" s="142" t="str">
        <f>IF(ISNA(HLOOKUP("start",ESLData!C$1:C$9960,MATCH($A1051,ESLData!$B$1:$B$9960,0))),"",HLOOKUP("start",ESLData!C$1:C$9960,MATCH($A1051,ESLData!$B$1:$B$9960,0)))</f>
        <v>Property Rental - External</v>
      </c>
    </row>
    <row r="1052" spans="1:11" ht="14.25" customHeight="1" x14ac:dyDescent="0.2">
      <c r="A1052" s="144">
        <v>39355</v>
      </c>
      <c r="C1052" s="143">
        <f>HLOOKUP("start",ESLData!E$1:E$9960,MATCH($A1052,ESLData!$B$1:$B$9960,0))</f>
        <v>0</v>
      </c>
      <c r="E1052" s="143">
        <f>HLOOKUP("start",ESLData!F$1:F$9960,MATCH($A1052,ESLData!$B$1:$B$9960,0))</f>
        <v>0</v>
      </c>
      <c r="G1052" s="143">
        <f>HLOOKUP("start",ESLData!H$1:H$9960,MATCH($A1052,ESLData!$B$1:$B$9960,0))</f>
        <v>0</v>
      </c>
      <c r="J1052" s="156" t="s">
        <v>987</v>
      </c>
      <c r="K1052" s="142" t="str">
        <f>IF(ISNA(HLOOKUP("start",ESLData!C$1:C$9960,MATCH($A1052,ESLData!$B$1:$B$9960,0))),"",HLOOKUP("start",ESLData!C$1:C$9960,MATCH($A1052,ESLData!$B$1:$B$9960,0)))</f>
        <v>Property Rental - External</v>
      </c>
    </row>
    <row r="1053" spans="1:11" ht="14.25" customHeight="1" x14ac:dyDescent="0.2">
      <c r="A1053" s="144">
        <v>39420</v>
      </c>
      <c r="C1053" s="143">
        <f>HLOOKUP("start",ESLData!E$1:E$9960,MATCH($A1053,ESLData!$B$1:$B$9960,0))</f>
        <v>0</v>
      </c>
      <c r="E1053" s="143">
        <f>HLOOKUP("start",ESLData!F$1:F$9960,MATCH($A1053,ESLData!$B$1:$B$9960,0))</f>
        <v>0</v>
      </c>
      <c r="G1053" s="143">
        <f>HLOOKUP("start",ESLData!H$1:H$9960,MATCH($A1053,ESLData!$B$1:$B$9960,0))</f>
        <v>0</v>
      </c>
      <c r="J1053" s="156" t="s">
        <v>987</v>
      </c>
      <c r="K1053" s="142" t="str">
        <f>IF(ISNA(HLOOKUP("start",ESLData!C$1:C$9960,MATCH($A1053,ESLData!$B$1:$B$9960,0))),"",HLOOKUP("start",ESLData!C$1:C$9960,MATCH($A1053,ESLData!$B$1:$B$9960,0)))</f>
        <v>Property Rental</v>
      </c>
    </row>
    <row r="1054" spans="1:11" ht="14.25" customHeight="1" x14ac:dyDescent="0.2">
      <c r="A1054" s="144">
        <v>35715</v>
      </c>
      <c r="C1054" s="143">
        <f>HLOOKUP("start",ESLData!E$1:E$9960,MATCH($A1054,ESLData!$B$1:$B$9960,0))</f>
        <v>0</v>
      </c>
      <c r="E1054" s="143">
        <f>HLOOKUP("start",ESLData!F$1:F$9960,MATCH($A1054,ESLData!$B$1:$B$9960,0))</f>
        <v>0</v>
      </c>
      <c r="G1054" s="143">
        <f>HLOOKUP("start",ESLData!H$1:H$9960,MATCH($A1054,ESLData!$B$1:$B$9960,0))</f>
        <v>0</v>
      </c>
      <c r="J1054" s="156"/>
      <c r="K1054" s="142" t="str">
        <f>IF(ISNA(HLOOKUP("start",ESLData!C$1:C$9960,MATCH($A1054,ESLData!$B$1:$B$9960,0))),"",HLOOKUP("start",ESLData!C$1:C$9960,MATCH($A1054,ESLData!$B$1:$B$9960,0)))</f>
        <v>Vehicle Rental</v>
      </c>
    </row>
    <row r="1055" spans="1:11" ht="14.25" customHeight="1" x14ac:dyDescent="0.2">
      <c r="A1055" s="144">
        <v>63150</v>
      </c>
      <c r="C1055" s="143">
        <f>HLOOKUP("start",ESLData!E$1:E$9960,MATCH($A1055,ESLData!$B$1:$B$9960,0))</f>
        <v>0</v>
      </c>
      <c r="D1055" s="162">
        <f>ROUND(SUM(C1039:C1055),0)</f>
        <v>0</v>
      </c>
      <c r="E1055" s="143">
        <f>HLOOKUP("start",ESLData!F$1:F$9960,MATCH($A1055,ESLData!$B$1:$B$9960,0))</f>
        <v>0</v>
      </c>
      <c r="F1055" s="155">
        <f>ROUND(SUM(E1039:E1055),0)</f>
        <v>0</v>
      </c>
      <c r="G1055" s="143">
        <f>HLOOKUP("start",ESLData!H$1:H$9960,MATCH($A1055,ESLData!$B$1:$B$9960,0))</f>
        <v>0</v>
      </c>
      <c r="H1055" s="162">
        <f>ROUND(SUM(G1039:G1055),0)</f>
        <v>224</v>
      </c>
      <c r="J1055" s="156" t="s">
        <v>987</v>
      </c>
      <c r="K1055" s="142" t="str">
        <f>IF(ISNA(HLOOKUP("start",ESLData!C$1:C$9960,MATCH($A1055,ESLData!$B$1:$B$9960,0))),"",HLOOKUP("start",ESLData!C$1:C$9960,MATCH($A1055,ESLData!$B$1:$B$9960,0)))</f>
        <v>Property Rental</v>
      </c>
    </row>
    <row r="1056" spans="1:11" ht="14.25" customHeight="1" x14ac:dyDescent="0.2">
      <c r="C1056" s="143"/>
      <c r="D1056" s="148"/>
      <c r="E1056" s="143"/>
      <c r="F1056" s="148"/>
      <c r="G1056" s="143"/>
      <c r="H1056" s="148"/>
      <c r="J1056" s="156" t="s">
        <v>987</v>
      </c>
      <c r="K1056" s="142" t="str">
        <f>IF(ISNA(HLOOKUP("start",ESLData!C$1:C$9960,MATCH($A1056,ESLData!$B$1:$B$9960,0))),"",HLOOKUP("start",ESLData!C$1:C$9960,MATCH($A1056,ESLData!$B$1:$B$9960,0)))</f>
        <v/>
      </c>
    </row>
    <row r="1057" spans="1:11" ht="14.25" customHeight="1" x14ac:dyDescent="0.2">
      <c r="A1057" s="147" t="s">
        <v>612</v>
      </c>
      <c r="C1057" s="143"/>
      <c r="E1057" s="143"/>
      <c r="G1057" s="143"/>
      <c r="J1057" s="156" t="s">
        <v>987</v>
      </c>
      <c r="K1057" s="142" t="str">
        <f>IF(ISNA(HLOOKUP("start",ESLData!C$1:C$9960,MATCH($A1057,ESLData!$B$1:$B$9960,0))),"",HLOOKUP("start",ESLData!C$1:C$9960,MATCH($A1057,ESLData!$B$1:$B$9960,0)))</f>
        <v/>
      </c>
    </row>
    <row r="1058" spans="1:11" ht="14.25" customHeight="1" x14ac:dyDescent="0.2">
      <c r="A1058" s="144">
        <v>2910</v>
      </c>
      <c r="C1058" s="143">
        <f>HLOOKUP("start",ESLData!E$1:E$9960,MATCH($A1058,ESLData!$B$1:$B$9960,0))</f>
        <v>713410.02</v>
      </c>
      <c r="D1058" s="163">
        <f>ROUND(SUM(C1058),0)</f>
        <v>713410</v>
      </c>
      <c r="E1058" s="143">
        <f>HLOOKUP("start",ESLData!F$1:F$9960,MATCH($A1058,ESLData!$B$1:$B$9960,0))</f>
        <v>809000</v>
      </c>
      <c r="F1058" s="148">
        <f>ROUND(SUM(E1058),0)</f>
        <v>809000</v>
      </c>
      <c r="G1058" s="164">
        <f>HLOOKUP("start",ESLData!H$1:H$9960,MATCH($A1058,ESLData!$B$1:$B$9960,0))</f>
        <v>629498.22</v>
      </c>
      <c r="H1058" s="148">
        <f>ROUND(SUM(G1058),0)</f>
        <v>629498</v>
      </c>
      <c r="J1058" s="156" t="s">
        <v>987</v>
      </c>
      <c r="K1058" s="142" t="str">
        <f>IF(ISNA(HLOOKUP("start",ESLData!C$1:C$9960,MATCH($A1058,ESLData!$B$1:$B$9960,0))),"",HLOOKUP("start",ESLData!C$1:C$9960,MATCH($A1058,ESLData!$B$1:$B$9960,0)))</f>
        <v>Depreciation</v>
      </c>
    </row>
    <row r="1059" spans="1:11" ht="14.25" customHeight="1" x14ac:dyDescent="0.2">
      <c r="A1059" s="144">
        <v>2920</v>
      </c>
      <c r="C1059" s="143">
        <f>HLOOKUP("start",ESLData!E$1:E$9960,MATCH($A1059,ESLData!$B$1:$B$9960,0))</f>
        <v>12910.58</v>
      </c>
      <c r="D1059" s="163">
        <f>ROUND(SUM(C1059),0)</f>
        <v>12911</v>
      </c>
      <c r="E1059" s="143">
        <f>HLOOKUP("start",ESLData!F$1:F$9960,MATCH($A1059,ESLData!$B$1:$B$9960,0))</f>
        <v>0</v>
      </c>
      <c r="F1059" s="148">
        <f>ROUND(SUM(E1059),0)</f>
        <v>0</v>
      </c>
      <c r="G1059" s="143">
        <f>HLOOKUP("start",ESLData!H$1:H$9960,MATCH($A1059,ESLData!$B$1:$B$9960,0))</f>
        <v>8986.23</v>
      </c>
      <c r="H1059" s="163">
        <f>ROUND(SUM(G1059),0)</f>
        <v>8986</v>
      </c>
      <c r="J1059" s="156" t="s">
        <v>987</v>
      </c>
      <c r="K1059" s="142" t="str">
        <f>IF(ISNA(HLOOKUP("start",ESLData!C$1:C$9960,MATCH($A1059,ESLData!$B$1:$B$9960,0))),"",HLOOKUP("start",ESLData!C$1:C$9960,MATCH($A1059,ESLData!$B$1:$B$9960,0)))</f>
        <v>Loss on Disposal of Property, Plant and Equipment</v>
      </c>
    </row>
    <row r="1060" spans="1:11" ht="14.25" customHeight="1" x14ac:dyDescent="0.2">
      <c r="A1060" s="144">
        <v>2930</v>
      </c>
      <c r="C1060" s="143">
        <f>HLOOKUP("start",ESLData!E$1:E$9960,MATCH($A1060,ESLData!$B$1:$B$9960,0))*-1</f>
        <v>0</v>
      </c>
      <c r="D1060" s="162">
        <f>ROUND(SUM(C1060),0)</f>
        <v>0</v>
      </c>
      <c r="E1060" s="143">
        <f>HLOOKUP("start",ESLData!F$1:F$9960,MATCH($A1060,ESLData!$B$1:$B$9960,0))*-1</f>
        <v>0</v>
      </c>
      <c r="F1060" s="155">
        <f>ROUND(SUM(E1060),0)</f>
        <v>0</v>
      </c>
      <c r="G1060" s="143">
        <f>HLOOKUP("start",ESLData!H$1:H$9960,MATCH($A1060,ESLData!$B$1:$B$9960,0))*-1</f>
        <v>234.78</v>
      </c>
      <c r="H1060" s="162">
        <f>ROUND(SUM(G1060),0)</f>
        <v>235</v>
      </c>
      <c r="J1060" s="156" t="s">
        <v>987</v>
      </c>
      <c r="K1060" s="142" t="str">
        <f>IF(ISNA(HLOOKUP("start",ESLData!C$1:C$9960,MATCH($A1060,ESLData!$B$1:$B$9960,0))),"",HLOOKUP("start",ESLData!C$1:C$9960,MATCH($A1060,ESLData!$B$1:$B$9960,0)))</f>
        <v>Gain on Sale of Property, Plant and Equipment</v>
      </c>
    </row>
    <row r="1061" spans="1:11" ht="14.25" customHeight="1" x14ac:dyDescent="0.2">
      <c r="A1061" s="147" t="s">
        <v>944</v>
      </c>
      <c r="C1061" s="143"/>
      <c r="D1061" s="148"/>
      <c r="E1061" s="143"/>
      <c r="G1061" s="143"/>
      <c r="H1061" s="148"/>
      <c r="J1061" s="156" t="s">
        <v>987</v>
      </c>
      <c r="K1061" s="142" t="str">
        <f>IF(ISNA(HLOOKUP("start",ESLData!C$1:C$9960,MATCH($A1061,ESLData!$B$1:$B$9960,0))),"",HLOOKUP("start",ESLData!C$1:C$9960,MATCH($A1061,ESLData!$B$1:$B$9960,0)))</f>
        <v/>
      </c>
    </row>
    <row r="1062" spans="1:11" ht="14.25" customHeight="1" x14ac:dyDescent="0.2">
      <c r="A1062" s="144">
        <v>1597</v>
      </c>
      <c r="C1062" s="143">
        <f>HLOOKUP("start",ESLData!E$1:E$9960,MATCH($A1062,ESLData!$B$1:$B$9960,0))</f>
        <v>14478.31</v>
      </c>
      <c r="D1062" s="163">
        <f>ROUND(SUM(C1062),0)</f>
        <v>14478</v>
      </c>
      <c r="E1062" s="143">
        <f>HLOOKUP("start",ESLData!F$1:F$9960,MATCH($A1062,ESLData!$B$1:$B$9960,0))</f>
        <v>630</v>
      </c>
      <c r="F1062" s="148">
        <f>ROUND(SUM(E1062),0)</f>
        <v>630</v>
      </c>
      <c r="G1062" s="164">
        <f>HLOOKUP("start",ESLData!H$1:H$9960,MATCH($A1062,ESLData!$B$1:$B$9960,0))</f>
        <v>14751.79</v>
      </c>
      <c r="H1062" s="148">
        <f>ROUND(SUM(G1062),0)</f>
        <v>14752</v>
      </c>
      <c r="J1062" s="156" t="s">
        <v>987</v>
      </c>
      <c r="K1062" s="142" t="str">
        <f>IF(ISNA(HLOOKUP("start",ESLData!C$1:C$9960,MATCH($A1062,ESLData!$B$1:$B$9960,0))),"",HLOOKUP("start",ESLData!C$1:C$9960,MATCH($A1062,ESLData!$B$1:$B$9960,0)))</f>
        <v>Lease interest</v>
      </c>
    </row>
    <row r="1063" spans="1:11" ht="14.25" customHeight="1" x14ac:dyDescent="0.2">
      <c r="C1063" s="143"/>
      <c r="D1063" s="148"/>
      <c r="E1063" s="143"/>
      <c r="G1063" s="143"/>
      <c r="H1063" s="148"/>
      <c r="K1063" s="142" t="str">
        <f>IF(ISNA(HLOOKUP("start",ESLData!C$1:C$9960,MATCH($A1063,ESLData!$B$1:$B$9960,0))),"",HLOOKUP("start",ESLData!C$1:C$9960,MATCH($A1063,ESLData!$B$1:$B$9960,0)))</f>
        <v/>
      </c>
    </row>
    <row r="1064" spans="1:11" s="152" customFormat="1" ht="22.5" customHeight="1" x14ac:dyDescent="0.35">
      <c r="A1064" s="166" t="s">
        <v>982</v>
      </c>
      <c r="C1064" s="153" t="s">
        <v>986</v>
      </c>
      <c r="E1064" s="153"/>
      <c r="G1064" s="153"/>
      <c r="K1064" s="142" t="str">
        <f>IF(ISNA(HLOOKUP("start",ESLData!C$1:C$9960,MATCH($A1064,ESLData!$B$1:$B$9960,0))),"",HLOOKUP("start",ESLData!C$1:C$9960,MATCH($A1064,ESLData!$B$1:$B$9960,0)))</f>
        <v/>
      </c>
    </row>
    <row r="1065" spans="1:11" s="150" customFormat="1" ht="14.25" customHeight="1" x14ac:dyDescent="0.2">
      <c r="A1065" s="144">
        <v>38946</v>
      </c>
      <c r="B1065" s="142"/>
      <c r="C1065" s="143">
        <f>HLOOKUP("start",ESLData!E$1:E$9960,MATCH($A1065,ESLData!$B$1:$B$9960,0))</f>
        <v>0</v>
      </c>
      <c r="D1065" s="142"/>
      <c r="E1065" s="143">
        <f>HLOOKUP("start",ESLData!F$1:F$9960,MATCH($A1065,ESLData!$B$1:$B$9960,0))</f>
        <v>0</v>
      </c>
      <c r="F1065" s="142"/>
      <c r="G1065" s="143">
        <f>HLOOKUP("start",ESLData!H$1:H$9960,MATCH($A1065,ESLData!$B$1:$B$9960,0))</f>
        <v>0</v>
      </c>
      <c r="H1065" s="142"/>
      <c r="K1065" s="142" t="str">
        <f>IF(ISNA(HLOOKUP("start",ESLData!C$1:C$9960,MATCH($A1065,ESLData!$B$1:$B$9960,0))),"",HLOOKUP("start",ESLData!C$1:C$9960,MATCH($A1065,ESLData!$B$1:$B$9960,0)))</f>
        <v>New Building Cost Ris</v>
      </c>
    </row>
    <row r="1066" spans="1:11" s="150" customFormat="1" ht="14.25" customHeight="1" x14ac:dyDescent="0.2">
      <c r="A1066" s="144">
        <v>38070</v>
      </c>
      <c r="B1066" s="142"/>
      <c r="C1066" s="143">
        <f>HLOOKUP("start",ESLData!E$1:E$9960,MATCH($A1066,ESLData!$B$1:$B$9960,0))</f>
        <v>0</v>
      </c>
      <c r="D1066" s="142"/>
      <c r="E1066" s="143">
        <f>HLOOKUP("start",ESLData!F$1:F$9960,MATCH($A1066,ESLData!$B$1:$B$9960,0))</f>
        <v>0</v>
      </c>
      <c r="F1066" s="142"/>
      <c r="G1066" s="143">
        <f>HLOOKUP("start",ESLData!H$1:H$9960,MATCH($A1066,ESLData!$B$1:$B$9960,0))</f>
        <v>0</v>
      </c>
      <c r="H1066" s="142"/>
      <c r="K1066" s="142" t="str">
        <f>IF(ISNA(HLOOKUP("start",ESLData!C$1:C$9960,MATCH($A1066,ESLData!$B$1:$B$9960,0))),"",HLOOKUP("start",ESLData!C$1:C$9960,MATCH($A1066,ESLData!$B$1:$B$9960,0)))</f>
        <v>Psychologist Contract</v>
      </c>
    </row>
    <row r="1067" spans="1:11" s="150" customFormat="1" ht="14.25" customHeight="1" x14ac:dyDescent="0.2">
      <c r="A1067" s="144">
        <v>38307</v>
      </c>
      <c r="B1067" s="142"/>
      <c r="C1067" s="143">
        <f>HLOOKUP("start",ESLData!E$1:E$9960,MATCH($A1067,ESLData!$B$1:$B$9960,0))</f>
        <v>0</v>
      </c>
      <c r="D1067" s="142"/>
      <c r="E1067" s="143">
        <f>HLOOKUP("start",ESLData!F$1:F$9960,MATCH($A1067,ESLData!$B$1:$B$9960,0))</f>
        <v>0</v>
      </c>
      <c r="F1067" s="142"/>
      <c r="G1067" s="143">
        <f>HLOOKUP("start",ESLData!H$1:H$9960,MATCH($A1067,ESLData!$B$1:$B$9960,0))</f>
        <v>0</v>
      </c>
      <c r="H1067" s="142"/>
      <c r="K1067" s="142" t="str">
        <f>IF(ISNA(HLOOKUP("start",ESLData!C$1:C$9960,MATCH($A1067,ESLData!$B$1:$B$9960,0))),"",HLOOKUP("start",ESLData!C$1:C$9960,MATCH($A1067,ESLData!$B$1:$B$9960,0)))</f>
        <v>Admin New Building Costs</v>
      </c>
    </row>
    <row r="1068" spans="1:11" s="150" customFormat="1" ht="14.25" customHeight="1" x14ac:dyDescent="0.2">
      <c r="A1068" s="144">
        <v>38953</v>
      </c>
      <c r="B1068" s="142"/>
      <c r="C1068" s="143">
        <f>HLOOKUP("start",ESLData!E$1:E$9960,MATCH($A1068,ESLData!$B$1:$B$9960,0))</f>
        <v>0</v>
      </c>
      <c r="D1068" s="142"/>
      <c r="E1068" s="143">
        <f>HLOOKUP("start",ESLData!F$1:F$9960,MATCH($A1068,ESLData!$B$1:$B$9960,0))</f>
        <v>0</v>
      </c>
      <c r="F1068" s="142"/>
      <c r="G1068" s="143">
        <f>HLOOKUP("start",ESLData!H$1:H$9960,MATCH($A1068,ESLData!$B$1:$B$9960,0))</f>
        <v>0</v>
      </c>
      <c r="H1068" s="142"/>
      <c r="K1068" s="142" t="str">
        <f>IF(ISNA(HLOOKUP("start",ESLData!C$1:C$9960,MATCH($A1068,ESLData!$B$1:$B$9960,0))),"",HLOOKUP("start",ESLData!C$1:C$9960,MATCH($A1068,ESLData!$B$1:$B$9960,0)))</f>
        <v>Child&amp;Family (Additional Cours</v>
      </c>
    </row>
    <row r="1069" spans="1:11" s="150" customFormat="1" ht="14.25" customHeight="1" x14ac:dyDescent="0.2">
      <c r="A1069" s="144">
        <v>38955</v>
      </c>
      <c r="B1069" s="142"/>
      <c r="C1069" s="143">
        <f>HLOOKUP("start",ESLData!E$1:E$9960,MATCH($A1069,ESLData!$B$1:$B$9960,0))</f>
        <v>0</v>
      </c>
      <c r="D1069" s="142"/>
      <c r="E1069" s="143">
        <f>HLOOKUP("start",ESLData!F$1:F$9960,MATCH($A1069,ESLData!$B$1:$B$9960,0))</f>
        <v>0</v>
      </c>
      <c r="F1069" s="142"/>
      <c r="G1069" s="143">
        <f>HLOOKUP("start",ESLData!H$1:H$9960,MATCH($A1069,ESLData!$B$1:$B$9960,0))</f>
        <v>0</v>
      </c>
      <c r="H1069" s="142"/>
      <c r="K1069" s="142" t="str">
        <f>IF(ISNA(HLOOKUP("start",ESLData!C$1:C$9960,MATCH($A1069,ESLData!$B$1:$B$9960,0))),"",HLOOKUP("start",ESLData!C$1:C$9960,MATCH($A1069,ESLData!$B$1:$B$9960,0)))</f>
        <v>Senior Musicianship</v>
      </c>
    </row>
    <row r="1070" spans="1:11" s="150" customFormat="1" ht="14.25" customHeight="1" x14ac:dyDescent="0.2">
      <c r="A1070" s="144">
        <v>38968</v>
      </c>
      <c r="B1070" s="142"/>
      <c r="C1070" s="143">
        <f>HLOOKUP("start",ESLData!E$1:E$9960,MATCH($A1070,ESLData!$B$1:$B$9960,0))</f>
        <v>0</v>
      </c>
      <c r="D1070" s="142"/>
      <c r="E1070" s="143">
        <f>HLOOKUP("start",ESLData!F$1:F$9960,MATCH($A1070,ESLData!$B$1:$B$9960,0))</f>
        <v>0</v>
      </c>
      <c r="F1070" s="142"/>
      <c r="G1070" s="143">
        <f>HLOOKUP("start",ESLData!H$1:H$9960,MATCH($A1070,ESLData!$B$1:$B$9960,0))</f>
        <v>0</v>
      </c>
      <c r="H1070" s="142"/>
      <c r="K1070" s="142" t="str">
        <f>IF(ISNA(HLOOKUP("start",ESLData!C$1:C$9960,MATCH($A1070,ESLData!$B$1:$B$9960,0))),"",HLOOKUP("start",ESLData!C$1:C$9960,MATCH($A1070,ESLData!$B$1:$B$9960,0)))</f>
        <v>Braillenote Connections</v>
      </c>
    </row>
    <row r="1071" spans="1:11" s="150" customFormat="1" ht="14.25" customHeight="1" x14ac:dyDescent="0.2">
      <c r="A1071" s="144">
        <v>38972</v>
      </c>
      <c r="B1071" s="142"/>
      <c r="C1071" s="143">
        <f>HLOOKUP("start",ESLData!E$1:E$9960,MATCH($A1071,ESLData!$B$1:$B$9960,0))</f>
        <v>0</v>
      </c>
      <c r="D1071" s="142"/>
      <c r="E1071" s="143">
        <f>HLOOKUP("start",ESLData!F$1:F$9960,MATCH($A1071,ESLData!$B$1:$B$9960,0))</f>
        <v>0</v>
      </c>
      <c r="F1071" s="142"/>
      <c r="G1071" s="143">
        <f>HLOOKUP("start",ESLData!H$1:H$9960,MATCH($A1071,ESLData!$B$1:$B$9960,0))</f>
        <v>0</v>
      </c>
      <c r="H1071" s="142"/>
      <c r="K1071" s="142" t="str">
        <f>IF(ISNA(HLOOKUP("start",ESLData!C$1:C$9960,MATCH($A1071,ESLData!$B$1:$B$9960,0))),"",HLOOKUP("start",ESLData!C$1:C$9960,MATCH($A1071,ESLData!$B$1:$B$9960,0)))</f>
        <v>Braillenote Basics</v>
      </c>
    </row>
    <row r="1072" spans="1:11" s="150" customFormat="1" ht="14.25" customHeight="1" x14ac:dyDescent="0.2">
      <c r="A1072" s="144">
        <v>38988</v>
      </c>
      <c r="B1072" s="142"/>
      <c r="C1072" s="143">
        <f>HLOOKUP("start",ESLData!E$1:E$9960,MATCH($A1072,ESLData!$B$1:$B$9960,0))</f>
        <v>0</v>
      </c>
      <c r="D1072" s="142"/>
      <c r="E1072" s="143">
        <f>HLOOKUP("start",ESLData!F$1:F$9960,MATCH($A1072,ESLData!$B$1:$B$9960,0))</f>
        <v>0</v>
      </c>
      <c r="F1072" s="142"/>
      <c r="G1072" s="143">
        <f>HLOOKUP("start",ESLData!H$1:H$9960,MATCH($A1072,ESLData!$B$1:$B$9960,0))</f>
        <v>0</v>
      </c>
      <c r="H1072" s="142"/>
      <c r="K1072" s="142" t="str">
        <f>IF(ISNA(HLOOKUP("start",ESLData!C$1:C$9960,MATCH($A1072,ESLData!$B$1:$B$9960,0))),"",HLOOKUP("start",ESLData!C$1:C$9960,MATCH($A1072,ESLData!$B$1:$B$9960,0)))</f>
        <v>Maths/Life Skills</v>
      </c>
    </row>
    <row r="1073" spans="1:11" s="150" customFormat="1" ht="14.25" customHeight="1" x14ac:dyDescent="0.2">
      <c r="A1073" s="144">
        <v>33220</v>
      </c>
      <c r="B1073" s="142"/>
      <c r="C1073" s="143">
        <f>HLOOKUP("start",ESLData!E$1:E$9960,MATCH($A1073,ESLData!$B$1:$B$9960,0))</f>
        <v>0</v>
      </c>
      <c r="D1073" s="142"/>
      <c r="E1073" s="143">
        <f>HLOOKUP("start",ESLData!F$1:F$9960,MATCH($A1073,ESLData!$B$1:$B$9960,0))</f>
        <v>0</v>
      </c>
      <c r="F1073" s="142"/>
      <c r="G1073" s="143">
        <f>HLOOKUP("start",ESLData!H$1:H$9960,MATCH($A1073,ESLData!$B$1:$B$9960,0))</f>
        <v>0</v>
      </c>
      <c r="H1073" s="142"/>
      <c r="K1073" s="142" t="str">
        <f>IF(ISNA(HLOOKUP("start",ESLData!C$1:C$9960,MATCH($A1073,ESLData!$B$1:$B$9960,0))),"",HLOOKUP("start",ESLData!C$1:C$9960,MATCH($A1073,ESLData!$B$1:$B$9960,0)))</f>
        <v>Photocopying</v>
      </c>
    </row>
    <row r="1074" spans="1:11" s="150" customFormat="1" ht="14.25" customHeight="1" x14ac:dyDescent="0.2">
      <c r="A1074" s="144">
        <v>33555</v>
      </c>
      <c r="B1074" s="142"/>
      <c r="C1074" s="143">
        <f>HLOOKUP("start",ESLData!E$1:E$9960,MATCH($A1074,ESLData!$B$1:$B$9960,0))</f>
        <v>0</v>
      </c>
      <c r="D1074" s="142"/>
      <c r="E1074" s="143">
        <f>HLOOKUP("start",ESLData!F$1:F$9960,MATCH($A1074,ESLData!$B$1:$B$9960,0))</f>
        <v>0</v>
      </c>
      <c r="F1074" s="142"/>
      <c r="G1074" s="143">
        <f>HLOOKUP("start",ESLData!H$1:H$9960,MATCH($A1074,ESLData!$B$1:$B$9960,0))</f>
        <v>0</v>
      </c>
      <c r="H1074" s="142"/>
      <c r="K1074" s="142" t="str">
        <f>IF(ISNA(HLOOKUP("start",ESLData!C$1:C$9960,MATCH($A1074,ESLData!$B$1:$B$9960,0))),"",HLOOKUP("start",ESLData!C$1:C$9960,MATCH($A1074,ESLData!$B$1:$B$9960,0)))</f>
        <v>Photocopying</v>
      </c>
    </row>
    <row r="1075" spans="1:11" s="150" customFormat="1" ht="14.25" customHeight="1" x14ac:dyDescent="0.2">
      <c r="A1075" s="144">
        <v>33475</v>
      </c>
      <c r="B1075" s="142"/>
      <c r="C1075" s="143">
        <f>HLOOKUP("start",ESLData!E$1:E$9960,MATCH($A1075,ESLData!$B$1:$B$9960,0))</f>
        <v>0</v>
      </c>
      <c r="D1075" s="142"/>
      <c r="E1075" s="143">
        <f>HLOOKUP("start",ESLData!F$1:F$9960,MATCH($A1075,ESLData!$B$1:$B$9960,0))</f>
        <v>0</v>
      </c>
      <c r="F1075" s="142"/>
      <c r="G1075" s="143">
        <f>HLOOKUP("start",ESLData!H$1:H$9960,MATCH($A1075,ESLData!$B$1:$B$9960,0))</f>
        <v>0</v>
      </c>
      <c r="H1075" s="142"/>
      <c r="K1075" s="142" t="str">
        <f>IF(ISNA(HLOOKUP("start",ESLData!C$1:C$9960,MATCH($A1075,ESLData!$B$1:$B$9960,0))),"",HLOOKUP("start",ESLData!C$1:C$9960,MATCH($A1075,ESLData!$B$1:$B$9960,0)))</f>
        <v>Horticultural Therapist</v>
      </c>
    </row>
    <row r="1076" spans="1:11" s="150" customFormat="1" ht="14.25" customHeight="1" x14ac:dyDescent="0.2">
      <c r="A1076" s="144">
        <v>33530</v>
      </c>
      <c r="B1076" s="142"/>
      <c r="C1076" s="143">
        <f>HLOOKUP("start",ESLData!E$1:E$9960,MATCH($A1076,ESLData!$B$1:$B$9960,0))</f>
        <v>0</v>
      </c>
      <c r="D1076" s="142"/>
      <c r="E1076" s="143">
        <f>HLOOKUP("start",ESLData!F$1:F$9960,MATCH($A1076,ESLData!$B$1:$B$9960,0))</f>
        <v>0</v>
      </c>
      <c r="F1076" s="142"/>
      <c r="G1076" s="143">
        <f>HLOOKUP("start",ESLData!H$1:H$9960,MATCH($A1076,ESLData!$B$1:$B$9960,0))</f>
        <v>0</v>
      </c>
      <c r="H1076" s="142"/>
      <c r="K1076" s="142" t="str">
        <f>IF(ISNA(HLOOKUP("start",ESLData!C$1:C$9960,MATCH($A1076,ESLData!$B$1:$B$9960,0))),"",HLOOKUP("start",ESLData!C$1:C$9960,MATCH($A1076,ESLData!$B$1:$B$9960,0)))</f>
        <v>Alternative Therapy</v>
      </c>
    </row>
    <row r="1077" spans="1:11" s="150" customFormat="1" ht="14.25" customHeight="1" x14ac:dyDescent="0.2">
      <c r="A1077" s="144">
        <v>33515</v>
      </c>
      <c r="B1077" s="142"/>
      <c r="C1077" s="143">
        <f>HLOOKUP("start",ESLData!E$1:E$9960,MATCH($A1077,ESLData!$B$1:$B$9960,0))</f>
        <v>0</v>
      </c>
      <c r="D1077" s="142"/>
      <c r="E1077" s="143">
        <f>HLOOKUP("start",ESLData!F$1:F$9960,MATCH($A1077,ESLData!$B$1:$B$9960,0))</f>
        <v>0</v>
      </c>
      <c r="F1077" s="142"/>
      <c r="G1077" s="143">
        <f>HLOOKUP("start",ESLData!H$1:H$9960,MATCH($A1077,ESLData!$B$1:$B$9960,0))</f>
        <v>0</v>
      </c>
      <c r="H1077" s="142"/>
      <c r="K1077" s="142" t="str">
        <f>IF(ISNA(HLOOKUP("start",ESLData!C$1:C$9960,MATCH($A1077,ESLData!$B$1:$B$9960,0))),"",HLOOKUP("start",ESLData!C$1:C$9960,MATCH($A1077,ESLData!$B$1:$B$9960,0)))</f>
        <v>Teacher Aide Time</v>
      </c>
    </row>
    <row r="1078" spans="1:11" s="150" customFormat="1" ht="14.25" customHeight="1" x14ac:dyDescent="0.2">
      <c r="A1078" s="144">
        <v>33495</v>
      </c>
      <c r="B1078" s="142"/>
      <c r="C1078" s="143">
        <f>HLOOKUP("start",ESLData!E$1:E$9960,MATCH($A1078,ESLData!$B$1:$B$9960,0))</f>
        <v>0</v>
      </c>
      <c r="D1078" s="142"/>
      <c r="E1078" s="143">
        <f>HLOOKUP("start",ESLData!F$1:F$9960,MATCH($A1078,ESLData!$B$1:$B$9960,0))</f>
        <v>0</v>
      </c>
      <c r="F1078" s="142"/>
      <c r="G1078" s="143">
        <f>HLOOKUP("start",ESLData!H$1:H$9960,MATCH($A1078,ESLData!$B$1:$B$9960,0))</f>
        <v>0</v>
      </c>
      <c r="H1078" s="142"/>
      <c r="K1078" s="142" t="str">
        <f>IF(ISNA(HLOOKUP("start",ESLData!C$1:C$9960,MATCH($A1078,ESLData!$B$1:$B$9960,0))),"",HLOOKUP("start",ESLData!C$1:C$9960,MATCH($A1078,ESLData!$B$1:$B$9960,0)))</f>
        <v>Music Therapy</v>
      </c>
    </row>
    <row r="1079" spans="1:11" s="150" customFormat="1" ht="14.25" customHeight="1" x14ac:dyDescent="0.2">
      <c r="A1079" s="144">
        <v>33310</v>
      </c>
      <c r="B1079" s="142"/>
      <c r="C1079" s="143">
        <f>HLOOKUP("start",ESLData!E$1:E$9960,MATCH($A1079,ESLData!$B$1:$B$9960,0))</f>
        <v>0</v>
      </c>
      <c r="D1079" s="142"/>
      <c r="E1079" s="143">
        <f>HLOOKUP("start",ESLData!F$1:F$9960,MATCH($A1079,ESLData!$B$1:$B$9960,0))</f>
        <v>0</v>
      </c>
      <c r="F1079" s="142"/>
      <c r="G1079" s="143">
        <f>HLOOKUP("start",ESLData!H$1:H$9960,MATCH($A1079,ESLData!$B$1:$B$9960,0))</f>
        <v>0</v>
      </c>
      <c r="H1079" s="142"/>
      <c r="K1079" s="142" t="str">
        <f>IF(ISNA(HLOOKUP("start",ESLData!C$1:C$9960,MATCH($A1079,ESLData!$B$1:$B$9960,0))),"",HLOOKUP("start",ESLData!C$1:C$9960,MATCH($A1079,ESLData!$B$1:$B$9960,0)))</f>
        <v>Adviser to the Deaf</v>
      </c>
    </row>
    <row r="1080" spans="1:11" s="150" customFormat="1" ht="14.25" customHeight="1" x14ac:dyDescent="0.2">
      <c r="A1080" s="144">
        <v>33502</v>
      </c>
      <c r="B1080" s="142"/>
      <c r="C1080" s="143">
        <f>HLOOKUP("start",ESLData!E$1:E$9960,MATCH($A1080,ESLData!$B$1:$B$9960,0))</f>
        <v>0</v>
      </c>
      <c r="D1080" s="142"/>
      <c r="E1080" s="143">
        <f>HLOOKUP("start",ESLData!F$1:F$9960,MATCH($A1080,ESLData!$B$1:$B$9960,0))</f>
        <v>0</v>
      </c>
      <c r="F1080" s="142"/>
      <c r="G1080" s="143">
        <f>HLOOKUP("start",ESLData!H$1:H$9960,MATCH($A1080,ESLData!$B$1:$B$9960,0))</f>
        <v>0</v>
      </c>
      <c r="H1080" s="142"/>
      <c r="K1080" s="142" t="str">
        <f>IF(ISNA(HLOOKUP("start",ESLData!C$1:C$9960,MATCH($A1080,ESLData!$B$1:$B$9960,0))),"",HLOOKUP("start",ESLData!C$1:C$9960,MATCH($A1080,ESLData!$B$1:$B$9960,0)))</f>
        <v>Slt, Ot &amp; Physiotherapy</v>
      </c>
    </row>
    <row r="1081" spans="1:11" s="150" customFormat="1" ht="14.25" customHeight="1" x14ac:dyDescent="0.2">
      <c r="A1081" s="144">
        <v>30120</v>
      </c>
      <c r="B1081" s="142"/>
      <c r="C1081" s="143">
        <f>HLOOKUP("start",ESLData!E$1:E$9960,MATCH($A1081,ESLData!$B$1:$B$9960,0))</f>
        <v>0</v>
      </c>
      <c r="D1081" s="142"/>
      <c r="E1081" s="143">
        <f>HLOOKUP("start",ESLData!F$1:F$9960,MATCH($A1081,ESLData!$B$1:$B$9960,0))</f>
        <v>0</v>
      </c>
      <c r="F1081" s="142"/>
      <c r="G1081" s="143">
        <f>HLOOKUP("start",ESLData!H$1:H$9960,MATCH($A1081,ESLData!$B$1:$B$9960,0))</f>
        <v>0</v>
      </c>
      <c r="H1081" s="142"/>
      <c r="K1081" s="142" t="str">
        <f>IF(ISNA(HLOOKUP("start",ESLData!C$1:C$9960,MATCH($A1081,ESLData!$B$1:$B$9960,0))),"",HLOOKUP("start",ESLData!C$1:C$9960,MATCH($A1081,ESLData!$B$1:$B$9960,0)))</f>
        <v>R&amp;M - Computer Equipment</v>
      </c>
    </row>
    <row r="1082" spans="1:11" s="150" customFormat="1" ht="14.25" customHeight="1" x14ac:dyDescent="0.2">
      <c r="A1082" s="144">
        <v>37260</v>
      </c>
      <c r="B1082" s="142"/>
      <c r="C1082" s="143">
        <f>HLOOKUP("start",ESLData!E$1:E$9960,MATCH($A1082,ESLData!$B$1:$B$9960,0))</f>
        <v>0</v>
      </c>
      <c r="D1082" s="142"/>
      <c r="E1082" s="143">
        <f>HLOOKUP("start",ESLData!F$1:F$9960,MATCH($A1082,ESLData!$B$1:$B$9960,0))</f>
        <v>0</v>
      </c>
      <c r="F1082" s="142"/>
      <c r="G1082" s="143">
        <f>HLOOKUP("start",ESLData!H$1:H$9960,MATCH($A1082,ESLData!$B$1:$B$9960,0))</f>
        <v>0</v>
      </c>
      <c r="H1082" s="142"/>
      <c r="K1082" s="142" t="str">
        <f>IF(ISNA(HLOOKUP("start",ESLData!C$1:C$9960,MATCH($A1082,ESLData!$B$1:$B$9960,0))),"",HLOOKUP("start",ESLData!C$1:C$9960,MATCH($A1082,ESLData!$B$1:$B$9960,0)))</f>
        <v>Braille Contract</v>
      </c>
    </row>
    <row r="1083" spans="1:11" s="150" customFormat="1" ht="14.25" customHeight="1" x14ac:dyDescent="0.2">
      <c r="A1083" s="144">
        <v>34000</v>
      </c>
      <c r="B1083" s="142"/>
      <c r="C1083" s="143">
        <f>HLOOKUP("start",ESLData!E$1:E$9960,MATCH($A1083,ESLData!$B$1:$B$9960,0))</f>
        <v>0</v>
      </c>
      <c r="D1083" s="148"/>
      <c r="E1083" s="143">
        <f>HLOOKUP("start",ESLData!F$1:F$9960,MATCH($A1083,ESLData!$B$1:$B$9960,0))</f>
        <v>0</v>
      </c>
      <c r="F1083" s="148"/>
      <c r="G1083" s="143">
        <f>HLOOKUP("start",ESLData!H$1:H$9960,MATCH($A1083,ESLData!$B$1:$B$9960,0))</f>
        <v>0</v>
      </c>
      <c r="H1083" s="148"/>
      <c r="K1083" s="142" t="str">
        <f>IF(ISNA(HLOOKUP("start",ESLData!C$1:C$9960,MATCH($A1083,ESLData!$B$1:$B$9960,0))),"",HLOOKUP("start",ESLData!C$1:C$9960,MATCH($A1083,ESLData!$B$1:$B$9960,0)))</f>
        <v>Courier</v>
      </c>
    </row>
    <row r="1084" spans="1:11" s="150" customFormat="1" ht="14.25" customHeight="1" x14ac:dyDescent="0.2">
      <c r="A1084" s="144">
        <v>34600</v>
      </c>
      <c r="B1084" s="142"/>
      <c r="C1084" s="143">
        <f>HLOOKUP("start",ESLData!E$1:E$9960,MATCH($A1084,ESLData!$B$1:$B$9960,0))</f>
        <v>0</v>
      </c>
      <c r="D1084" s="142"/>
      <c r="E1084" s="143">
        <f>HLOOKUP("start",ESLData!F$1:F$9960,MATCH($A1084,ESLData!$B$1:$B$9960,0))</f>
        <v>0</v>
      </c>
      <c r="F1084" s="142"/>
      <c r="G1084" s="143">
        <f>HLOOKUP("start",ESLData!H$1:H$9960,MATCH($A1084,ESLData!$B$1:$B$9960,0))</f>
        <v>0</v>
      </c>
      <c r="H1084" s="142"/>
      <c r="K1084" s="142" t="str">
        <f>IF(ISNA(HLOOKUP("start",ESLData!C$1:C$9960,MATCH($A1084,ESLData!$B$1:$B$9960,0))),"",HLOOKUP("start",ESLData!C$1:C$9960,MATCH($A1084,ESLData!$B$1:$B$9960,0)))</f>
        <v>South Auckland Project Trust</v>
      </c>
    </row>
    <row r="1085" spans="1:11" s="150" customFormat="1" ht="14.25" customHeight="1" x14ac:dyDescent="0.2">
      <c r="A1085" s="144">
        <v>34610</v>
      </c>
      <c r="B1085" s="142"/>
      <c r="C1085" s="143">
        <f>HLOOKUP("start",ESLData!E$1:E$9960,MATCH($A1085,ESLData!$B$1:$B$9960,0))</f>
        <v>0</v>
      </c>
      <c r="D1085" s="142"/>
      <c r="E1085" s="143">
        <f>HLOOKUP("start",ESLData!F$1:F$9960,MATCH($A1085,ESLData!$B$1:$B$9960,0))</f>
        <v>0</v>
      </c>
      <c r="F1085" s="142"/>
      <c r="G1085" s="143">
        <f>HLOOKUP("start",ESLData!H$1:H$9960,MATCH($A1085,ESLData!$B$1:$B$9960,0))</f>
        <v>0</v>
      </c>
      <c r="H1085" s="142"/>
      <c r="K1085" s="142" t="str">
        <f>IF(ISNA(HLOOKUP("start",ESLData!C$1:C$9960,MATCH($A1085,ESLData!$B$1:$B$9960,0))),"",HLOOKUP("start",ESLData!C$1:C$9960,MATCH($A1085,ESLData!$B$1:$B$9960,0)))</f>
        <v>South Auck Project Trust Exp</v>
      </c>
    </row>
    <row r="1086" spans="1:11" s="150" customFormat="1" ht="14.25" customHeight="1" x14ac:dyDescent="0.2">
      <c r="A1086" s="144">
        <v>34455</v>
      </c>
      <c r="B1086" s="142"/>
      <c r="C1086" s="143">
        <f>HLOOKUP("start",ESLData!E$1:E$9960,MATCH($A1086,ESLData!$B$1:$B$9960,0))</f>
        <v>0</v>
      </c>
      <c r="D1086" s="142"/>
      <c r="E1086" s="143">
        <f>HLOOKUP("start",ESLData!F$1:F$9960,MATCH($A1086,ESLData!$B$1:$B$9960,0))</f>
        <v>0</v>
      </c>
      <c r="F1086" s="142"/>
      <c r="G1086" s="143">
        <f>HLOOKUP("start",ESLData!H$1:H$9960,MATCH($A1086,ESLData!$B$1:$B$9960,0))</f>
        <v>0</v>
      </c>
      <c r="H1086" s="142"/>
      <c r="K1086" s="142" t="str">
        <f>IF(ISNA(HLOOKUP("start",ESLData!C$1:C$9960,MATCH($A1086,ESLData!$B$1:$B$9960,0))),"",HLOOKUP("start",ESLData!C$1:C$9960,MATCH($A1086,ESLData!$B$1:$B$9960,0)))</f>
        <v>Projects - Vea</v>
      </c>
    </row>
    <row r="1087" spans="1:11" s="150" customFormat="1" ht="14.25" customHeight="1" x14ac:dyDescent="0.2">
      <c r="A1087" s="144">
        <v>37030</v>
      </c>
      <c r="B1087" s="142"/>
      <c r="C1087" s="143">
        <f>HLOOKUP("start",ESLData!E$1:E$9960,MATCH($A1087,ESLData!$B$1:$B$9960,0))</f>
        <v>15.04</v>
      </c>
      <c r="D1087" s="148"/>
      <c r="E1087" s="143">
        <f>HLOOKUP("start",ESLData!F$1:F$9960,MATCH($A1087,ESLData!$B$1:$B$9960,0))</f>
        <v>0</v>
      </c>
      <c r="F1087" s="148"/>
      <c r="G1087" s="143">
        <f>HLOOKUP("start",ESLData!H$1:H$9960,MATCH($A1087,ESLData!$B$1:$B$9960,0))</f>
        <v>0</v>
      </c>
      <c r="H1087" s="148"/>
      <c r="K1087" s="142" t="str">
        <f>IF(ISNA(HLOOKUP("start",ESLData!C$1:C$9960,MATCH($A1087,ESLData!$B$1:$B$9960,0))),"",HLOOKUP("start",ESLData!C$1:C$9960,MATCH($A1087,ESLData!$B$1:$B$9960,0)))</f>
        <v>Vehicle Maintenance</v>
      </c>
    </row>
    <row r="1088" spans="1:11" s="150" customFormat="1" ht="14.25" customHeight="1" x14ac:dyDescent="0.2">
      <c r="A1088" s="145">
        <v>37330</v>
      </c>
      <c r="B1088" s="142"/>
      <c r="C1088" s="143">
        <f>HLOOKUP("start",ESLData!E$1:E$9960,MATCH($A1088,ESLData!$B$1:$B$9960,0))</f>
        <v>0</v>
      </c>
      <c r="D1088" s="142"/>
      <c r="E1088" s="143">
        <f>HLOOKUP("start",ESLData!F$1:F$9960,MATCH($A1088,ESLData!$B$1:$B$9960,0))</f>
        <v>0</v>
      </c>
      <c r="F1088" s="142"/>
      <c r="G1088" s="143">
        <f>HLOOKUP("start",ESLData!H$1:H$9960,MATCH($A1088,ESLData!$B$1:$B$9960,0))</f>
        <v>0</v>
      </c>
      <c r="H1088" s="142"/>
      <c r="K1088" s="142" t="str">
        <f>IF(ISNA(HLOOKUP("start",ESLData!C$1:C$9960,MATCH($A1088,ESLData!$B$1:$B$9960,0))),"",HLOOKUP("start",ESLData!C$1:C$9960,MATCH($A1088,ESLData!$B$1:$B$9960,0)))</f>
        <v>Recruitment/Advertising</v>
      </c>
    </row>
    <row r="1089" spans="1:11" s="150" customFormat="1" ht="14.25" customHeight="1" x14ac:dyDescent="0.2">
      <c r="A1089" s="144">
        <v>37965</v>
      </c>
      <c r="B1089" s="142"/>
      <c r="C1089" s="143">
        <f>HLOOKUP("start",ESLData!E$1:E$9960,MATCH($A1089,ESLData!$B$1:$B$9960,0))</f>
        <v>0</v>
      </c>
      <c r="D1089" s="148"/>
      <c r="E1089" s="143">
        <f>HLOOKUP("start",ESLData!F$1:F$9960,MATCH($A1089,ESLData!$B$1:$B$9960,0))</f>
        <v>0</v>
      </c>
      <c r="F1089" s="148"/>
      <c r="G1089" s="143">
        <f>HLOOKUP("start",ESLData!H$1:H$9960,MATCH($A1089,ESLData!$B$1:$B$9960,0))</f>
        <v>0</v>
      </c>
      <c r="H1089" s="148"/>
      <c r="K1089" s="142" t="str">
        <f>IF(ISNA(HLOOKUP("start",ESLData!C$1:C$9960,MATCH($A1089,ESLData!$B$1:$B$9960,0))),"",HLOOKUP("start",ESLData!C$1:C$9960,MATCH($A1089,ESLData!$B$1:$B$9960,0)))</f>
        <v>Stores</v>
      </c>
    </row>
    <row r="1090" spans="1:11" s="150" customFormat="1" ht="14.25" customHeight="1" x14ac:dyDescent="0.2">
      <c r="A1090" s="144">
        <v>38520</v>
      </c>
      <c r="B1090" s="142"/>
      <c r="C1090" s="143">
        <f>HLOOKUP("start",ESLData!E$1:E$9960,MATCH($A1090,ESLData!$B$1:$B$9960,0))</f>
        <v>0</v>
      </c>
      <c r="D1090" s="148"/>
      <c r="E1090" s="143">
        <f>HLOOKUP("start",ESLData!F$1:F$9960,MATCH($A1090,ESLData!$B$1:$B$9960,0))</f>
        <v>0</v>
      </c>
      <c r="F1090" s="148"/>
      <c r="G1090" s="143">
        <f>HLOOKUP("start",ESLData!H$1:H$9960,MATCH($A1090,ESLData!$B$1:$B$9960,0))</f>
        <v>0</v>
      </c>
      <c r="H1090" s="148"/>
      <c r="K1090" s="142" t="str">
        <f>IF(ISNA(HLOOKUP("start",ESLData!C$1:C$9960,MATCH($A1090,ESLData!$B$1:$B$9960,0))),"",HLOOKUP("start",ESLData!C$1:C$9960,MATCH($A1090,ESLData!$B$1:$B$9960,0)))</f>
        <v>Acc Levies</v>
      </c>
    </row>
    <row r="1091" spans="1:11" ht="14.25" customHeight="1" x14ac:dyDescent="0.2">
      <c r="C1091" s="143"/>
      <c r="E1091" s="143"/>
      <c r="G1091" s="143"/>
      <c r="K1091" s="142" t="str">
        <f>IF(ISNA(HLOOKUP("start",ESLData!C$1:C$9960,MATCH($A1091,ESLData!$B$1:$B$9960,0))),"",HLOOKUP("start",ESLData!C$1:C$9960,MATCH($A1091,ESLData!$B$1:$B$9960,0)))</f>
        <v/>
      </c>
    </row>
    <row r="1092" spans="1:11" ht="14.25" customHeight="1" x14ac:dyDescent="0.2">
      <c r="A1092" s="147" t="s">
        <v>660</v>
      </c>
      <c r="C1092" s="143"/>
      <c r="E1092" s="143"/>
      <c r="G1092" s="143"/>
      <c r="K1092" s="142" t="str">
        <f>IF(ISNA(HLOOKUP("start",ESLData!C$1:C$9960,MATCH($A1092,ESLData!$B$1:$B$9960,0))),"",HLOOKUP("start",ESLData!C$1:C$9960,MATCH($A1092,ESLData!$B$1:$B$9960,0)))</f>
        <v/>
      </c>
    </row>
    <row r="1093" spans="1:11" ht="14.25" customHeight="1" x14ac:dyDescent="0.2">
      <c r="A1093" s="147" t="s">
        <v>661</v>
      </c>
      <c r="C1093" s="143"/>
      <c r="E1093" s="143"/>
      <c r="G1093" s="143"/>
      <c r="K1093" s="142" t="str">
        <f>IF(ISNA(HLOOKUP("start",ESLData!C$1:C$9960,MATCH($A1093,ESLData!$B$1:$B$9960,0))),"",HLOOKUP("start",ESLData!C$1:C$9960,MATCH($A1093,ESLData!$B$1:$B$9960,0)))</f>
        <v/>
      </c>
    </row>
    <row r="1094" spans="1:11" ht="14.25" customHeight="1" x14ac:dyDescent="0.2">
      <c r="A1094" s="147" t="s">
        <v>1059</v>
      </c>
      <c r="C1094" s="143"/>
      <c r="E1094" s="143"/>
      <c r="G1094" s="143"/>
    </row>
    <row r="1095" spans="1:11" ht="14.25" customHeight="1" x14ac:dyDescent="0.2">
      <c r="A1095" s="144">
        <v>9000</v>
      </c>
      <c r="C1095" s="143">
        <f>HLOOKUP("start",ESLData!E$1:E$9960,MATCH($A1095,ESLData!$B$1:$B$9960,0))</f>
        <v>65130.05</v>
      </c>
      <c r="D1095" s="148"/>
      <c r="E1095" s="143">
        <f>HLOOKUP("start",ESLData!F$1:F$9960,MATCH($A1095,ESLData!$B$1:$B$9960,0))</f>
        <v>2058441</v>
      </c>
      <c r="F1095" s="148"/>
      <c r="G1095" s="143">
        <f>HLOOKUP("start",ESLData!H$1:H$9960,MATCH($A1095,ESLData!$B$1:$B$9960,0))</f>
        <v>165636.91</v>
      </c>
      <c r="H1095" s="148"/>
      <c r="K1095" s="142" t="str">
        <f>IF(ISNA(HLOOKUP("start",ESLData!C$1:C$9960,MATCH($A1095,ESLData!$B$1:$B$9960,0))),"",HLOOKUP("start",ESLData!C$1:C$9960,MATCH($A1095,ESLData!$B$1:$B$9960,0)))</f>
        <v>ASB Trust Account</v>
      </c>
    </row>
    <row r="1096" spans="1:11" ht="14.25" customHeight="1" x14ac:dyDescent="0.2">
      <c r="C1096" s="143"/>
      <c r="D1096" s="148"/>
      <c r="E1096" s="143"/>
      <c r="F1096" s="148"/>
      <c r="G1096" s="143"/>
      <c r="H1096" s="148"/>
    </row>
    <row r="1097" spans="1:11" ht="14.25" customHeight="1" x14ac:dyDescent="0.2">
      <c r="A1097" s="144">
        <v>9029</v>
      </c>
      <c r="C1097" s="143">
        <f>HLOOKUP("start",ESLData!E$1:E$9960,MATCH($A1097,ESLData!$B$1:$B$9960,0))</f>
        <v>1810.79</v>
      </c>
      <c r="D1097" s="148"/>
      <c r="E1097" s="143">
        <f>HLOOKUP("start",ESLData!F$1:F$9960,MATCH($A1097,ESLData!$B$1:$B$9960,0))</f>
        <v>1000</v>
      </c>
      <c r="F1097" s="148"/>
      <c r="G1097" s="143">
        <f>HLOOKUP("start",ESLData!H$1:H$9960,MATCH($A1097,ESLData!$B$1:$B$9960,0))</f>
        <v>8250.98</v>
      </c>
      <c r="H1097" s="148"/>
      <c r="K1097" s="142" t="str">
        <f>IF(ISNA(HLOOKUP("start",ESLData!C$1:C$9960,MATCH($A1097,ESLData!$B$1:$B$9960,0))),"",HLOOKUP("start",ESLData!C$1:C$9960,MATCH($A1097,ESLData!$B$1:$B$9960,0)))</f>
        <v>Petty Cash</v>
      </c>
    </row>
    <row r="1098" spans="1:11" ht="14.25" customHeight="1" x14ac:dyDescent="0.2">
      <c r="C1098" s="143"/>
      <c r="D1098" s="148"/>
      <c r="E1098" s="143"/>
      <c r="F1098" s="148"/>
      <c r="G1098" s="143"/>
      <c r="H1098" s="148"/>
    </row>
    <row r="1099" spans="1:11" ht="14.25" customHeight="1" x14ac:dyDescent="0.2">
      <c r="A1099" s="145" t="s">
        <v>1060</v>
      </c>
      <c r="C1099" s="143"/>
      <c r="D1099" s="148"/>
      <c r="E1099" s="143"/>
      <c r="F1099" s="148"/>
      <c r="G1099" s="143"/>
      <c r="H1099" s="148"/>
    </row>
    <row r="1100" spans="1:11" ht="14.25" customHeight="1" x14ac:dyDescent="0.2">
      <c r="A1100" s="144">
        <v>9001</v>
      </c>
      <c r="C1100" s="143">
        <f>HLOOKUP("start",ESLData!E$1:E$9960,MATCH($A1100,ESLData!$B$1:$B$9960,0))</f>
        <v>139319.54</v>
      </c>
      <c r="D1100" s="163">
        <f>ROUND(SUM(C1094:C1100),0)</f>
        <v>206260</v>
      </c>
      <c r="E1100" s="143">
        <f>HLOOKUP("start",ESLData!F$1:F$9960,MATCH($A1100,ESLData!$B$1:$B$9960,0))</f>
        <v>100000</v>
      </c>
      <c r="F1100" s="148">
        <f>ROUND(SUM(E1094:E1100),0)</f>
        <v>2159441</v>
      </c>
      <c r="G1100" s="143">
        <f>HLOOKUP("start",ESLData!H$1:H$9960,MATCH($A1100,ESLData!$B$1:$B$9960,0))</f>
        <v>111302.83</v>
      </c>
      <c r="H1100" s="148">
        <f>ROUND(SUM(G1094:G1100),0)</f>
        <v>285191</v>
      </c>
      <c r="K1100" s="142" t="str">
        <f>IF(ISNA(HLOOKUP("start",ESLData!C$1:C$9960,MATCH($A1100,ESLData!$B$1:$B$9960,0))),"",HLOOKUP("start",ESLData!C$1:C$9960,MATCH($A1100,ESLData!$B$1:$B$9960,0)))</f>
        <v>ASB Account 01</v>
      </c>
    </row>
    <row r="1101" spans="1:11" ht="14.25" customHeight="1" x14ac:dyDescent="0.2">
      <c r="A1101" s="147" t="s">
        <v>763</v>
      </c>
      <c r="C1101" s="143"/>
      <c r="D1101" s="148"/>
      <c r="E1101" s="143"/>
      <c r="F1101" s="148"/>
      <c r="G1101" s="143"/>
      <c r="H1101" s="148"/>
    </row>
    <row r="1102" spans="1:11" ht="14.25" customHeight="1" x14ac:dyDescent="0.2">
      <c r="A1102" s="144">
        <v>9003</v>
      </c>
      <c r="C1102" s="143">
        <f>HLOOKUP("start",ESLData!E$1:E$9960,MATCH($A1102,ESLData!$B$1:$B$9960,0))</f>
        <v>0</v>
      </c>
      <c r="E1102" s="143">
        <f>HLOOKUP("start",ESLData!F$1:F$9960,MATCH($A1102,ESLData!$B$1:$B$9960,0))</f>
        <v>0</v>
      </c>
      <c r="G1102" s="143">
        <f>HLOOKUP("start",ESLData!H$1:H$9960,MATCH($A1102,ESLData!$B$1:$B$9960,0))</f>
        <v>0</v>
      </c>
      <c r="K1102" s="142" t="str">
        <f>IF(ISNA(HLOOKUP("start",ESLData!C$1:C$9960,MATCH($A1102,ESLData!$B$1:$B$9960,0))),"",HLOOKUP("start",ESLData!C$1:C$9960,MATCH($A1102,ESLData!$B$1:$B$9960,0)))</f>
        <v>ASB Term Investment #88</v>
      </c>
    </row>
    <row r="1103" spans="1:11" ht="14.25" customHeight="1" x14ac:dyDescent="0.2">
      <c r="A1103" s="144">
        <v>9006</v>
      </c>
      <c r="C1103" s="143">
        <f>HLOOKUP("start",ESLData!E$1:E$9960,MATCH($A1103,ESLData!$B$1:$B$9960,0))</f>
        <v>850594.91</v>
      </c>
      <c r="E1103" s="143">
        <f>HLOOKUP("start",ESLData!F$1:F$9960,MATCH($A1103,ESLData!$B$1:$B$9960,0))</f>
        <v>6090750</v>
      </c>
      <c r="G1103" s="143">
        <f>HLOOKUP("start",ESLData!H$1:H$9960,MATCH($A1103,ESLData!$B$1:$B$9960,0))</f>
        <v>850594.91</v>
      </c>
      <c r="K1103" s="142" t="str">
        <f>IF(ISNA(HLOOKUP("start",ESLData!C$1:C$9960,MATCH($A1103,ESLData!$B$1:$B$9960,0))),"",HLOOKUP("start",ESLData!C$1:C$9960,MATCH($A1103,ESLData!$B$1:$B$9960,0)))</f>
        <v>ASB Term Investment 81</v>
      </c>
    </row>
    <row r="1104" spans="1:11" ht="14.25" customHeight="1" x14ac:dyDescent="0.2">
      <c r="C1104" s="143"/>
      <c r="E1104" s="143"/>
      <c r="G1104" s="143"/>
    </row>
    <row r="1105" spans="1:11" ht="14.25" customHeight="1" x14ac:dyDescent="0.2">
      <c r="A1105" s="144">
        <v>9008</v>
      </c>
      <c r="C1105" s="143">
        <f>HLOOKUP("start",ESLData!E$1:E$9960,MATCH($A1105,ESLData!$B$1:$B$9960,0))</f>
        <v>560192.56000000006</v>
      </c>
      <c r="E1105" s="143">
        <f>HLOOKUP("start",ESLData!F$1:F$9960,MATCH($A1105,ESLData!$B$1:$B$9960,0))</f>
        <v>0</v>
      </c>
      <c r="G1105" s="143">
        <f>HLOOKUP("start",ESLData!H$1:H$9960,MATCH($A1105,ESLData!$B$1:$B$9960,0))</f>
        <v>542730.88</v>
      </c>
      <c r="K1105" s="142" t="str">
        <f>IF(ISNA(HLOOKUP("start",ESLData!C$1:C$9960,MATCH($A1105,ESLData!$B$1:$B$9960,0))),"",HLOOKUP("start",ESLData!C$1:C$9960,MATCH($A1105,ESLData!$B$1:$B$9960,0)))</f>
        <v>ASB Term Investment #83</v>
      </c>
    </row>
    <row r="1106" spans="1:11" ht="14.25" customHeight="1" x14ac:dyDescent="0.2">
      <c r="A1106" s="144">
        <v>9009</v>
      </c>
      <c r="C1106" s="143">
        <f>HLOOKUP("start",ESLData!E$1:E$9960,MATCH($A1106,ESLData!$B$1:$B$9960,0))</f>
        <v>1000000</v>
      </c>
      <c r="E1106" s="143">
        <f>HLOOKUP("start",ESLData!F$1:F$9960,MATCH($A1106,ESLData!$B$1:$B$9960,0))</f>
        <v>0</v>
      </c>
      <c r="G1106" s="143">
        <f>HLOOKUP("start",ESLData!H$1:H$9960,MATCH($A1106,ESLData!$B$1:$B$9960,0))</f>
        <v>0</v>
      </c>
      <c r="K1106" s="142" t="str">
        <f>IF(ISNA(HLOOKUP("start",ESLData!C$1:C$9960,MATCH($A1106,ESLData!$B$1:$B$9960,0))),"",HLOOKUP("start",ESLData!C$1:C$9960,MATCH($A1106,ESLData!$B$1:$B$9960,0)))</f>
        <v>ASB Term Investment #84</v>
      </c>
    </row>
    <row r="1107" spans="1:11" ht="14.25" customHeight="1" x14ac:dyDescent="0.2">
      <c r="A1107" s="144">
        <v>9010</v>
      </c>
      <c r="C1107" s="143">
        <f>HLOOKUP("start",ESLData!E$1:E$9960,MATCH($A1107,ESLData!$B$1:$B$9960,0))</f>
        <v>0</v>
      </c>
      <c r="E1107" s="143">
        <f>HLOOKUP("start",ESLData!F$1:F$9960,MATCH($A1107,ESLData!$B$1:$B$9960,0))</f>
        <v>0</v>
      </c>
      <c r="G1107" s="143">
        <f>HLOOKUP("start",ESLData!H$1:H$9960,MATCH($A1107,ESLData!$B$1:$B$9960,0))</f>
        <v>959662.66</v>
      </c>
      <c r="K1107" s="142" t="str">
        <f>IF(ISNA(HLOOKUP("start",ESLData!C$1:C$9960,MATCH($A1107,ESLData!$B$1:$B$9960,0))),"",HLOOKUP("start",ESLData!C$1:C$9960,MATCH($A1107,ESLData!$B$1:$B$9960,0)))</f>
        <v>ASB Term Investment #85</v>
      </c>
    </row>
    <row r="1108" spans="1:11" ht="14.25" customHeight="1" x14ac:dyDescent="0.2">
      <c r="A1108" s="144">
        <v>9012</v>
      </c>
      <c r="C1108" s="143">
        <f>HLOOKUP("start",ESLData!E$1:E$9960,MATCH($A1108,ESLData!$B$1:$B$9960,0))</f>
        <v>1023554.79</v>
      </c>
      <c r="E1108" s="143">
        <f>HLOOKUP("start",ESLData!F$1:F$9960,MATCH($A1108,ESLData!$B$1:$B$9960,0))</f>
        <v>0</v>
      </c>
      <c r="G1108" s="143">
        <f>HLOOKUP("start",ESLData!H$1:H$9960,MATCH($A1108,ESLData!$B$1:$B$9960,0))</f>
        <v>1000000</v>
      </c>
      <c r="K1108" s="142" t="str">
        <f>IF(ISNA(HLOOKUP("start",ESLData!C$1:C$9960,MATCH($A1108,ESLData!$B$1:$B$9960,0))),"",HLOOKUP("start",ESLData!C$1:C$9960,MATCH($A1108,ESLData!$B$1:$B$9960,0)))</f>
        <v>ASB Term Investment #72</v>
      </c>
    </row>
    <row r="1109" spans="1:11" ht="14.25" customHeight="1" x14ac:dyDescent="0.2">
      <c r="A1109" s="144">
        <v>9013</v>
      </c>
      <c r="C1109" s="143">
        <f>HLOOKUP("start",ESLData!E$1:E$9960,MATCH($A1109,ESLData!$B$1:$B$9960,0))</f>
        <v>2000000</v>
      </c>
      <c r="E1109" s="143">
        <f>HLOOKUP("start",ESLData!F$1:F$9960,MATCH($A1109,ESLData!$B$1:$B$9960,0))</f>
        <v>0</v>
      </c>
      <c r="G1109" s="143">
        <f>HLOOKUP("start",ESLData!H$1:H$9960,MATCH($A1109,ESLData!$B$1:$B$9960,0))</f>
        <v>1000000</v>
      </c>
      <c r="K1109" s="142" t="str">
        <f>IF(ISNA(HLOOKUP("start",ESLData!C$1:C$9960,MATCH($A1109,ESLData!$B$1:$B$9960,0))),"",HLOOKUP("start",ESLData!C$1:C$9960,MATCH($A1109,ESLData!$B$1:$B$9960,0)))</f>
        <v>ASB Term Investment #73</v>
      </c>
    </row>
    <row r="1110" spans="1:11" ht="14.25" customHeight="1" x14ac:dyDescent="0.2">
      <c r="C1110" s="143"/>
      <c r="E1110" s="143"/>
      <c r="G1110" s="143"/>
    </row>
    <row r="1111" spans="1:11" ht="14.25" customHeight="1" x14ac:dyDescent="0.2">
      <c r="A1111" s="144">
        <v>9015</v>
      </c>
      <c r="C1111" s="143">
        <f>HLOOKUP("start",ESLData!E$1:E$9960,MATCH($A1111,ESLData!$B$1:$B$9960,0))</f>
        <v>635871.61</v>
      </c>
      <c r="E1111" s="143">
        <f>HLOOKUP("start",ESLData!F$1:F$9960,MATCH($A1111,ESLData!$B$1:$B$9960,0))</f>
        <v>0</v>
      </c>
      <c r="G1111" s="143">
        <f>HLOOKUP("start",ESLData!H$1:H$9960,MATCH($A1111,ESLData!$B$1:$B$9960,0))</f>
        <v>598607.26</v>
      </c>
      <c r="K1111" s="142" t="str">
        <f>IF(ISNA(HLOOKUP("start",ESLData!C$1:C$9960,MATCH($A1111,ESLData!$B$1:$B$9960,0))),"",HLOOKUP("start",ESLData!C$1:C$9960,MATCH($A1111,ESLData!$B$1:$B$9960,0)))</f>
        <v>ASB Term Investment #75</v>
      </c>
    </row>
    <row r="1112" spans="1:11" ht="14.25" customHeight="1" x14ac:dyDescent="0.2">
      <c r="A1112" s="144">
        <v>9016</v>
      </c>
      <c r="C1112" s="143">
        <f>HLOOKUP("start",ESLData!E$1:E$9960,MATCH($A1112,ESLData!$B$1:$B$9960,0))</f>
        <v>29359.200000000001</v>
      </c>
      <c r="E1112" s="143">
        <f>HLOOKUP("start",ESLData!F$1:F$9960,MATCH($A1112,ESLData!$B$1:$B$9960,0))</f>
        <v>0</v>
      </c>
      <c r="G1112" s="143">
        <f>HLOOKUP("start",ESLData!H$1:H$9960,MATCH($A1112,ESLData!$B$1:$B$9960,0))</f>
        <v>28059.439999999999</v>
      </c>
      <c r="K1112" s="142" t="str">
        <f>IF(ISNA(HLOOKUP("start",ESLData!C$1:C$9960,MATCH($A1112,ESLData!$B$1:$B$9960,0))),"",HLOOKUP("start",ESLData!C$1:C$9960,MATCH($A1112,ESLData!$B$1:$B$9960,0)))</f>
        <v>ASB Term Investment 76 Music School</v>
      </c>
    </row>
    <row r="1113" spans="1:11" ht="14.25" customHeight="1" x14ac:dyDescent="0.2">
      <c r="C1113" s="143"/>
      <c r="E1113" s="143"/>
      <c r="G1113" s="143"/>
    </row>
    <row r="1114" spans="1:11" ht="14.25" customHeight="1" x14ac:dyDescent="0.2">
      <c r="A1114" s="144">
        <v>9018</v>
      </c>
      <c r="C1114" s="143">
        <f>HLOOKUP("start",ESLData!E$1:E$9960,MATCH($A1114,ESLData!$B$1:$B$9960,0))</f>
        <v>551881.82999999996</v>
      </c>
      <c r="E1114" s="143">
        <f>HLOOKUP("start",ESLData!F$1:F$9960,MATCH($A1114,ESLData!$B$1:$B$9960,0))</f>
        <v>0</v>
      </c>
      <c r="G1114" s="143">
        <f>HLOOKUP("start",ESLData!H$1:H$9960,MATCH($A1114,ESLData!$B$1:$B$9960,0))</f>
        <v>540252.12</v>
      </c>
      <c r="K1114" s="142" t="str">
        <f>IF(ISNA(HLOOKUP("start",ESLData!C$1:C$9960,MATCH($A1114,ESLData!$B$1:$B$9960,0))),"",HLOOKUP("start",ESLData!C$1:C$9960,MATCH($A1114,ESLData!$B$1:$B$9960,0)))</f>
        <v>ASB Term Investment #78</v>
      </c>
    </row>
    <row r="1115" spans="1:11" ht="14.25" customHeight="1" x14ac:dyDescent="0.2">
      <c r="A1115" s="144">
        <v>9019</v>
      </c>
      <c r="C1115" s="143">
        <f>HLOOKUP("start",ESLData!E$1:E$9960,MATCH($A1115,ESLData!$B$1:$B$9960,0))</f>
        <v>0</v>
      </c>
      <c r="E1115" s="143">
        <f>HLOOKUP("start",ESLData!F$1:F$9960,MATCH($A1115,ESLData!$B$1:$B$9960,0))</f>
        <v>0</v>
      </c>
      <c r="G1115" s="143">
        <f>HLOOKUP("start",ESLData!H$1:H$9960,MATCH($A1115,ESLData!$B$1:$B$9960,0))</f>
        <v>425082.82</v>
      </c>
      <c r="K1115" s="142" t="str">
        <f>IF(ISNA(HLOOKUP("start",ESLData!C$1:C$9960,MATCH($A1115,ESLData!$B$1:$B$9960,0))),"",HLOOKUP("start",ESLData!C$1:C$9960,MATCH($A1115,ESLData!$B$1:$B$9960,0)))</f>
        <v>ASB Term Investment #79</v>
      </c>
    </row>
    <row r="1116" spans="1:11" ht="14.25" customHeight="1" x14ac:dyDescent="0.2">
      <c r="A1116" s="144">
        <v>9020</v>
      </c>
      <c r="C1116" s="143">
        <f>HLOOKUP("start",ESLData!E$1:E$9960,MATCH($A1116,ESLData!$B$1:$B$9960,0))</f>
        <v>1500000</v>
      </c>
      <c r="E1116" s="143">
        <f>HLOOKUP("start",ESLData!F$1:F$9960,MATCH($A1116,ESLData!$B$1:$B$9960,0))</f>
        <v>0</v>
      </c>
      <c r="G1116" s="143">
        <f>HLOOKUP("start",ESLData!H$1:H$9960,MATCH($A1116,ESLData!$B$1:$B$9960,0))</f>
        <v>1177875.54</v>
      </c>
      <c r="K1116" s="142" t="str">
        <f>IF(ISNA(HLOOKUP("start",ESLData!C$1:C$9960,MATCH($A1116,ESLData!$B$1:$B$9960,0))),"",HLOOKUP("start",ESLData!C$1:C$9960,MATCH($A1116,ESLData!$B$1:$B$9960,0)))</f>
        <v>ASB Term Investment #80</v>
      </c>
    </row>
    <row r="1117" spans="1:11" ht="14.25" customHeight="1" x14ac:dyDescent="0.2">
      <c r="A1117" s="144">
        <v>9021</v>
      </c>
      <c r="C1117" s="143">
        <f>HLOOKUP("start",ESLData!E$1:E$9960,MATCH($A1117,ESLData!$B$1:$B$9960,0))</f>
        <v>0</v>
      </c>
      <c r="E1117" s="143">
        <f>HLOOKUP("start",ESLData!F$1:F$9960,MATCH($A1117,ESLData!$B$1:$B$9960,0))</f>
        <v>0</v>
      </c>
      <c r="G1117" s="143">
        <f>HLOOKUP("start",ESLData!H$1:H$9960,MATCH($A1117,ESLData!$B$1:$B$9960,0))</f>
        <v>0</v>
      </c>
      <c r="K1117" s="142" t="str">
        <f>IF(ISNA(HLOOKUP("start",ESLData!C$1:C$9960,MATCH($A1117,ESLData!$B$1:$B$9960,0))),"",HLOOKUP("start",ESLData!C$1:C$9960,MATCH($A1117,ESLData!$B$1:$B$9960,0)))</f>
        <v>ASB Term Investment 87</v>
      </c>
    </row>
    <row r="1118" spans="1:11" ht="14.25" customHeight="1" x14ac:dyDescent="0.2">
      <c r="A1118" s="144">
        <v>9002</v>
      </c>
      <c r="C1118" s="143">
        <f>HLOOKUP("start",ESLData!E$1:E$9960,MATCH($A1118,ESLData!$B$1:$B$9960,0))</f>
        <v>0</v>
      </c>
      <c r="E1118" s="143">
        <f>HLOOKUP("start",ESLData!F$1:F$9960,MATCH($A1118,ESLData!$B$1:$B$9960,0))</f>
        <v>0</v>
      </c>
      <c r="G1118" s="143">
        <f>HLOOKUP("start",ESLData!H$1:H$9960,MATCH($A1118,ESLData!$B$1:$B$9960,0))</f>
        <v>0</v>
      </c>
      <c r="K1118" s="142" t="str">
        <f>IF(ISNA(HLOOKUP("start",ESLData!C$1:C$9960,MATCH($A1118,ESLData!$B$1:$B$9960,0))),"",HLOOKUP("start",ESLData!C$1:C$9960,MATCH($A1118,ESLData!$B$1:$B$9960,0)))</f>
        <v>ASB Savings Account #50</v>
      </c>
    </row>
    <row r="1119" spans="1:11" ht="14.25" customHeight="1" x14ac:dyDescent="0.2">
      <c r="A1119" s="144">
        <v>9023</v>
      </c>
      <c r="C1119" s="143">
        <f>HLOOKUP("start",ESLData!E$1:E$9960,MATCH($A1119,ESLData!$B$1:$B$9960,0))</f>
        <v>0</v>
      </c>
      <c r="E1119" s="143">
        <f>HLOOKUP("start",ESLData!F$1:F$9960,MATCH($A1119,ESLData!$B$1:$B$9960,0))</f>
        <v>0</v>
      </c>
      <c r="G1119" s="143">
        <f>HLOOKUP("start",ESLData!H$1:H$9960,MATCH($A1119,ESLData!$B$1:$B$9960,0))</f>
        <v>0</v>
      </c>
      <c r="K1119" s="142" t="str">
        <f>IF(ISNA(HLOOKUP("start",ESLData!C$1:C$9960,MATCH($A1119,ESLData!$B$1:$B$9960,0))),"",HLOOKUP("start",ESLData!C$1:C$9960,MATCH($A1119,ESLData!$B$1:$B$9960,0)))</f>
        <v>ASB Term Investment 89</v>
      </c>
    </row>
    <row r="1120" spans="1:11" ht="14.25" customHeight="1" x14ac:dyDescent="0.2">
      <c r="A1120" s="144">
        <v>9025</v>
      </c>
      <c r="C1120" s="143">
        <f>HLOOKUP("start",ESLData!E$1:E$9960,MATCH($A1120,ESLData!$B$1:$B$9960,0))</f>
        <v>0</v>
      </c>
      <c r="E1120" s="143">
        <f>HLOOKUP("start",ESLData!F$1:F$9960,MATCH($A1120,ESLData!$B$1:$B$9960,0))</f>
        <v>0</v>
      </c>
      <c r="G1120" s="143">
        <f>HLOOKUP("start",ESLData!H$1:H$9960,MATCH($A1120,ESLData!$B$1:$B$9960,0))</f>
        <v>0</v>
      </c>
      <c r="K1120" s="142" t="str">
        <f>IF(ISNA(HLOOKUP("start",ESLData!C$1:C$9960,MATCH($A1120,ESLData!$B$1:$B$9960,0))),"",HLOOKUP("start",ESLData!C$1:C$9960,MATCH($A1120,ESLData!$B$1:$B$9960,0)))</f>
        <v>Asb Term Deposit #90</v>
      </c>
    </row>
    <row r="1121" spans="1:11" ht="14.25" customHeight="1" x14ac:dyDescent="0.2">
      <c r="A1121" s="144">
        <v>9022</v>
      </c>
      <c r="C1121" s="143">
        <f>HLOOKUP("start",ESLData!E$1:E$9960,MATCH($A1121,ESLData!$B$1:$B$9960,0))</f>
        <v>0</v>
      </c>
      <c r="E1121" s="143">
        <f>HLOOKUP("start",ESLData!F$1:F$9960,MATCH($A1121,ESLData!$B$1:$B$9960,0))</f>
        <v>0</v>
      </c>
      <c r="G1121" s="143">
        <f>HLOOKUP("start",ESLData!H$1:H$9960,MATCH($A1121,ESLData!$B$1:$B$9960,0))</f>
        <v>519990.86</v>
      </c>
      <c r="K1121" s="142" t="str">
        <f>IF(ISNA(HLOOKUP("start",ESLData!C$1:C$9960,MATCH($A1121,ESLData!$B$1:$B$9960,0))),"",HLOOKUP("start",ESLData!C$1:C$9960,MATCH($A1121,ESLData!$B$1:$B$9960,0)))</f>
        <v>ASB Term investment 86</v>
      </c>
    </row>
    <row r="1122" spans="1:11" ht="14.25" customHeight="1" x14ac:dyDescent="0.2">
      <c r="C1122" s="143"/>
      <c r="D1122" s="148"/>
      <c r="E1122" s="143"/>
      <c r="F1122" s="148"/>
      <c r="G1122" s="143"/>
      <c r="H1122" s="148"/>
    </row>
    <row r="1123" spans="1:11" ht="14.25" customHeight="1" x14ac:dyDescent="0.2">
      <c r="C1123" s="143"/>
      <c r="E1123" s="143"/>
      <c r="G1123" s="143"/>
      <c r="K1123" s="142" t="str">
        <f>IF(ISNA(HLOOKUP("start",ESLData!C$1:C$9960,MATCH($A1101,ESLData!$B$1:$B$9960,0))),"",HLOOKUP("start",ESLData!C$1:C$9960,MATCH($A1101,ESLData!$B$1:$B$9960,0)))</f>
        <v/>
      </c>
    </row>
    <row r="1124" spans="1:11" ht="14.25" customHeight="1" x14ac:dyDescent="0.2">
      <c r="A1124" s="144">
        <v>9007</v>
      </c>
      <c r="B1124" s="142" t="s">
        <v>758</v>
      </c>
      <c r="C1124" s="143">
        <f>HLOOKUP("start",ESLData!E$1:E$9960,MATCH($A1124,ESLData!$B$1:$B$9960,0))</f>
        <v>465030.1</v>
      </c>
      <c r="E1124" s="143">
        <f>HLOOKUP("start",ESLData!F$1:F$9960,MATCH($A1124,ESLData!$B$1:$B$9960,0))</f>
        <v>0</v>
      </c>
      <c r="G1124" s="143">
        <f>HLOOKUP("start",ESLData!H$1:H$9960,MATCH($A1124,ESLData!$B$1:$B$9960,0))</f>
        <v>447893.55</v>
      </c>
      <c r="K1124" s="142" t="str">
        <f>IF(ISNA(HLOOKUP("start",ESLData!C$1:C$9960,MATCH($A1124,ESLData!$B$1:$B$9960,0))),"",HLOOKUP("start",ESLData!C$1:C$9960,MATCH($A1124,ESLData!$B$1:$B$9960,0)))</f>
        <v>ASB Term Investment #82</v>
      </c>
    </row>
    <row r="1125" spans="1:11" ht="14.25" customHeight="1" x14ac:dyDescent="0.2">
      <c r="A1125" s="144">
        <v>9014</v>
      </c>
      <c r="B1125" s="142" t="s">
        <v>758</v>
      </c>
      <c r="C1125" s="143">
        <f>HLOOKUP("start",ESLData!E$1:E$9960,MATCH($A1125,ESLData!$B$1:$B$9960,0))</f>
        <v>1000000</v>
      </c>
      <c r="E1125" s="143">
        <f>HLOOKUP("start",ESLData!F$1:F$9960,MATCH($A1125,ESLData!$B$1:$B$9960,0))</f>
        <v>0</v>
      </c>
      <c r="G1125" s="143">
        <f>HLOOKUP("start",ESLData!H$1:H$9960,MATCH($A1125,ESLData!$B$1:$B$9960,0))</f>
        <v>1000000</v>
      </c>
      <c r="K1125" s="142" t="str">
        <f>IF(ISNA(HLOOKUP("start",ESLData!C$1:C$9960,MATCH($A1125,ESLData!$B$1:$B$9960,0))),"",HLOOKUP("start",ESLData!C$1:C$9960,MATCH($A1125,ESLData!$B$1:$B$9960,0)))</f>
        <v>ASB Term Investment #74</v>
      </c>
    </row>
    <row r="1126" spans="1:11" ht="14.25" customHeight="1" x14ac:dyDescent="0.2">
      <c r="A1126" s="144">
        <v>9017</v>
      </c>
      <c r="C1126" s="143">
        <f>HLOOKUP("start",ESLData!E$1:E$9960,MATCH($A1126,ESLData!$B$1:$B$9960,0))</f>
        <v>1000000</v>
      </c>
      <c r="E1126" s="143">
        <f>HLOOKUP("start",ESLData!F$1:F$9960,MATCH($A1126,ESLData!$B$1:$B$9960,0))</f>
        <v>0</v>
      </c>
      <c r="G1126" s="143">
        <f>HLOOKUP("start",ESLData!H$1:H$9960,MATCH($A1126,ESLData!$B$1:$B$9960,0))</f>
        <v>0</v>
      </c>
      <c r="K1126" s="142" t="str">
        <f>IF(ISNA(HLOOKUP("start",ESLData!C$1:C$9960,MATCH($A1126,ESLData!$B$1:$B$9960,0))),"",HLOOKUP("start",ESLData!C$1:C$9960,MATCH($A1126,ESLData!$B$1:$B$9960,0)))</f>
        <v>ASB Term Investment #77</v>
      </c>
    </row>
    <row r="1127" spans="1:11" ht="14.25" customHeight="1" x14ac:dyDescent="0.2">
      <c r="B1127" s="142" t="s">
        <v>758</v>
      </c>
      <c r="C1127" s="143"/>
      <c r="D1127" s="163">
        <f>ROUND(SUM(C1102:C1127),0)</f>
        <v>10616485</v>
      </c>
      <c r="E1127" s="143"/>
      <c r="F1127" s="148">
        <f>ROUND(SUM(E1102:E1127),0)</f>
        <v>6090750</v>
      </c>
      <c r="G1127" s="143"/>
      <c r="H1127" s="148">
        <f>ROUND(SUM(G1102:G1127),0)</f>
        <v>9090750</v>
      </c>
    </row>
    <row r="1128" spans="1:11" ht="14.25" customHeight="1" x14ac:dyDescent="0.2">
      <c r="C1128" s="143"/>
      <c r="E1128" s="143"/>
      <c r="G1128" s="143"/>
    </row>
    <row r="1129" spans="1:11" ht="14.25" customHeight="1" x14ac:dyDescent="0.2">
      <c r="C1129" s="143"/>
      <c r="E1129" s="143"/>
      <c r="G1129" s="143"/>
    </row>
    <row r="1130" spans="1:11" ht="14.25" customHeight="1" x14ac:dyDescent="0.2">
      <c r="C1130" s="143"/>
      <c r="E1130" s="143"/>
      <c r="G1130" s="143"/>
    </row>
    <row r="1131" spans="1:11" ht="14.25" customHeight="1" x14ac:dyDescent="0.2">
      <c r="C1131" s="143"/>
      <c r="E1131" s="143"/>
      <c r="G1131" s="143"/>
    </row>
    <row r="1132" spans="1:11" ht="14.25" customHeight="1" x14ac:dyDescent="0.2">
      <c r="C1132" s="143"/>
      <c r="E1132" s="143"/>
      <c r="G1132" s="143"/>
    </row>
    <row r="1133" spans="1:11" ht="14.25" customHeight="1" x14ac:dyDescent="0.2">
      <c r="C1133" s="143"/>
      <c r="E1133" s="143"/>
      <c r="G1133" s="143"/>
    </row>
    <row r="1134" spans="1:11" ht="14.25" customHeight="1" x14ac:dyDescent="0.2">
      <c r="C1134" s="143"/>
      <c r="E1134" s="143"/>
      <c r="G1134" s="143"/>
    </row>
    <row r="1135" spans="1:11" ht="14.25" customHeight="1" x14ac:dyDescent="0.2">
      <c r="C1135" s="143"/>
      <c r="E1135" s="143"/>
      <c r="G1135" s="143"/>
    </row>
    <row r="1136" spans="1:11" ht="14.25" customHeight="1" x14ac:dyDescent="0.2">
      <c r="C1136" s="143"/>
      <c r="E1136" s="143"/>
      <c r="G1136" s="143"/>
    </row>
    <row r="1137" spans="1:11" ht="14.25" customHeight="1" x14ac:dyDescent="0.2">
      <c r="C1137" s="143"/>
      <c r="E1137" s="143"/>
      <c r="G1137" s="143"/>
    </row>
    <row r="1138" spans="1:11" ht="14.25" customHeight="1" x14ac:dyDescent="0.2">
      <c r="C1138" s="143"/>
      <c r="D1138" s="148"/>
      <c r="E1138" s="143"/>
      <c r="G1138" s="143"/>
    </row>
    <row r="1139" spans="1:11" ht="14.25" customHeight="1" x14ac:dyDescent="0.2">
      <c r="C1139" s="143"/>
      <c r="E1139" s="143"/>
      <c r="G1139" s="143"/>
    </row>
    <row r="1140" spans="1:11" ht="14.25" customHeight="1" x14ac:dyDescent="0.2">
      <c r="C1140" s="143"/>
      <c r="D1140" s="163">
        <f>ROUND(SUM(C1124:C1140),0)</f>
        <v>2465030</v>
      </c>
      <c r="E1140" s="143"/>
      <c r="F1140" s="148">
        <f>ROUND(SUM(E1124:E1140),0)</f>
        <v>0</v>
      </c>
      <c r="G1140" s="143"/>
      <c r="H1140" s="148">
        <f>ROUND(SUM(G1124:G1140),0)</f>
        <v>1447894</v>
      </c>
      <c r="K1140" s="142" t="str">
        <f>IF(ISNA(HLOOKUP("start",ESLData!C$1:C$9960,MATCH($A1140,ESLData!$B$1:$B$9960,0))),"",HLOOKUP("start",ESLData!C$1:C$9960,MATCH($A1140,ESLData!$B$1:$B$9960,0)))</f>
        <v/>
      </c>
    </row>
    <row r="1141" spans="1:11" ht="14.25" customHeight="1" x14ac:dyDescent="0.2">
      <c r="A1141" s="147" t="s">
        <v>645</v>
      </c>
      <c r="C1141" s="143"/>
      <c r="E1141" s="143"/>
      <c r="G1141" s="143"/>
      <c r="K1141" s="142" t="str">
        <f>IF(ISNA(HLOOKUP("start",ESLData!C$1:C$9960,MATCH($A1141,ESLData!$B$1:$B$9960,0))),"",HLOOKUP("start",ESLData!C$1:C$9960,MATCH($A1141,ESLData!$B$1:$B$9960,0)))</f>
        <v/>
      </c>
    </row>
    <row r="1142" spans="1:11" ht="14.25" customHeight="1" x14ac:dyDescent="0.2">
      <c r="A1142" s="145">
        <v>9114</v>
      </c>
      <c r="C1142" s="143">
        <f>HLOOKUP("start",ESLData!E$1:E$9960,MATCH($A1142,ESLData!$B$1:$B$9960,0))</f>
        <v>342.02</v>
      </c>
      <c r="E1142" s="143">
        <f>HLOOKUP("start",ESLData!F$1:F$9960,MATCH($A1142,ESLData!$B$1:$B$9960,0))</f>
        <v>0</v>
      </c>
      <c r="G1142" s="143">
        <f>HLOOKUP("start",ESLData!H$1:H$9960,MATCH($A1142,ESLData!$B$1:$B$9960,0))</f>
        <v>26036.42</v>
      </c>
      <c r="J1142" s="146"/>
      <c r="K1142" s="142" t="str">
        <f>IF(ISNA(HLOOKUP("start",ESLData!C$1:C$9960,MATCH($A1142,ESLData!$B$1:$B$9960,0))),"",HLOOKUP("start",ESLData!C$1:C$9960,MATCH($A1142,ESLData!$B$1:$B$9960,0)))</f>
        <v>Sundry Debtors</v>
      </c>
    </row>
    <row r="1143" spans="1:11" ht="14.25" customHeight="1" x14ac:dyDescent="0.2">
      <c r="A1143" s="145">
        <v>9113</v>
      </c>
      <c r="C1143" s="143">
        <f>HLOOKUP("start",ESLData!E$1:E$9960,MATCH($A1143,ESLData!$B$1:$B$9960,0))</f>
        <v>4267.88</v>
      </c>
      <c r="E1143" s="143">
        <f>HLOOKUP("start",ESLData!F$1:F$9960,MATCH($A1143,ESLData!$B$1:$B$9960,0))</f>
        <v>0</v>
      </c>
      <c r="G1143" s="143">
        <f>HLOOKUP("start",ESLData!H$1:H$9960,MATCH($A1143,ESLData!$B$1:$B$9960,0))</f>
        <v>5394.61</v>
      </c>
      <c r="J1143" s="146"/>
      <c r="K1143" s="142" t="str">
        <f>IF(ISNA(HLOOKUP("start",ESLData!C$1:C$9960,MATCH($A1143,ESLData!$B$1:$B$9960,0))),"",HLOOKUP("start",ESLData!C$1:C$9960,MATCH($A1143,ESLData!$B$1:$B$9960,0)))</f>
        <v>KTR - Debtors</v>
      </c>
    </row>
    <row r="1144" spans="1:11" ht="14.25" customHeight="1" x14ac:dyDescent="0.2">
      <c r="A1144" s="144">
        <v>9115</v>
      </c>
      <c r="C1144" s="143">
        <f>HLOOKUP("start",ESLData!E$1:E$9960,MATCH($A1144,ESLData!$B$1:$B$9960,0))</f>
        <v>182725.79</v>
      </c>
      <c r="D1144" s="163">
        <f>ROUND(SUM(C1142:C1144),0)</f>
        <v>187336</v>
      </c>
      <c r="E1144" s="143">
        <f>HLOOKUP("start",ESLData!F$1:F$9960,MATCH($A1144,ESLData!$B$1:$B$9960,0))</f>
        <v>150007</v>
      </c>
      <c r="F1144" s="148">
        <f>ROUND(SUM(E1144),0)</f>
        <v>150007</v>
      </c>
      <c r="G1144" s="143">
        <f>HLOOKUP("start",ESLData!H$1:H$9960,MATCH($A1144,ESLData!$B$1:$B$9960,0))</f>
        <v>118575.57</v>
      </c>
      <c r="H1144" s="148">
        <f>ROUND(SUM(G1142:G1144),0)</f>
        <v>150007</v>
      </c>
      <c r="K1144" s="142" t="str">
        <f>IF(ISNA(HLOOKUP("start",ESLData!C$1:C$9960,MATCH($A1144,ESLData!$B$1:$B$9960,0))),"",HLOOKUP("start",ESLData!C$1:C$9960,MATCH($A1144,ESLData!$B$1:$B$9960,0)))</f>
        <v>Accounts Receivable</v>
      </c>
    </row>
    <row r="1145" spans="1:11" ht="14.25" customHeight="1" x14ac:dyDescent="0.2">
      <c r="A1145" s="144">
        <v>9116</v>
      </c>
      <c r="C1145" s="143">
        <f>HLOOKUP("start",ESLData!E$1:E$9960,MATCH($A1145,ESLData!$B$1:$B$9960,0))</f>
        <v>8203.7999999999993</v>
      </c>
      <c r="D1145" s="163">
        <f>ROUND(SUM(C1145),0)</f>
        <v>8204</v>
      </c>
      <c r="E1145" s="143">
        <f>HLOOKUP("start",ESLData!F$1:F$9960,MATCH($A1145,ESLData!$B$1:$B$9960,0))</f>
        <v>5434</v>
      </c>
      <c r="F1145" s="148">
        <f>ROUND(SUM(E1145),0)</f>
        <v>5434</v>
      </c>
      <c r="G1145" s="143">
        <f>HLOOKUP("start",ESLData!H$1:H$9960,MATCH($A1145,ESLData!$B$1:$B$9960,0))</f>
        <v>5433.67</v>
      </c>
      <c r="H1145" s="148">
        <f>ROUND(SUM(G1145),0)</f>
        <v>5434</v>
      </c>
      <c r="I1145" s="148">
        <f>ROUND(G1144+G1145+G1142,0)</f>
        <v>150046</v>
      </c>
      <c r="K1145" s="142" t="str">
        <f>IF(ISNA(HLOOKUP("start",ESLData!C$1:C$9960,MATCH($A1145,ESLData!$B$1:$B$9960,0))),"",HLOOKUP("start",ESLData!C$1:C$9960,MATCH($A1145,ESLData!$B$1:$B$9960,0)))</f>
        <v>Novopay repayments/debt</v>
      </c>
    </row>
    <row r="1146" spans="1:11" ht="14.25" customHeight="1" x14ac:dyDescent="0.2">
      <c r="A1146" s="144" t="s">
        <v>516</v>
      </c>
      <c r="C1146" s="143">
        <f>HLOOKUP("start",ESLData!E$1:E$9960,MATCH($A1146,ESLData!$B$1:$B$9960,0))</f>
        <v>1204657</v>
      </c>
      <c r="D1146" s="163">
        <f>ROUND(SUM(C1146),0)</f>
        <v>1204657</v>
      </c>
      <c r="E1146" s="143">
        <f>HLOOKUP("start",ESLData!F$1:F$9960,MATCH($A1146,ESLData!$B$1:$B$9960,0))</f>
        <v>1080846</v>
      </c>
      <c r="F1146" s="148">
        <f>ROUND(SUM(E1146),0)</f>
        <v>1080846</v>
      </c>
      <c r="G1146" s="143">
        <f>HLOOKUP("start",ESLData!H$1:H$9960,MATCH($A1146,ESLData!$B$1:$B$9960,0))</f>
        <v>1080846</v>
      </c>
      <c r="H1146" s="168">
        <f>ROUND(SUM(G1146),0)</f>
        <v>1080846</v>
      </c>
      <c r="K1146" s="142" t="str">
        <f>IF(ISNA(HLOOKUP("start",ESLData!C$1:C$9960,MATCH($A1146,ESLData!$B$1:$B$9960,0))),"",HLOOKUP("start",ESLData!C$1:C$9960,MATCH($A1146,ESLData!$B$1:$B$9960,0)))</f>
        <v>Teachers Salaries Accrual</v>
      </c>
    </row>
    <row r="1147" spans="1:11" ht="14.25" customHeight="1" x14ac:dyDescent="0.2">
      <c r="A1147" s="144">
        <v>9112</v>
      </c>
      <c r="C1147" s="143">
        <f>HLOOKUP("start",ESLData!E$1:E$9960,MATCH($A1147,ESLData!$B$1:$B$9960,0))</f>
        <v>273538.25</v>
      </c>
      <c r="D1147" s="163">
        <f>ROUND(SUM(C1147),0)</f>
        <v>273538</v>
      </c>
      <c r="E1147" s="143">
        <f>HLOOKUP("start",ESLData!F$1:F$9960,MATCH($A1147,ESLData!$B$1:$B$9960,0))</f>
        <v>87660</v>
      </c>
      <c r="F1147" s="148">
        <f>ROUND(SUM(E1147),0)</f>
        <v>87660</v>
      </c>
      <c r="G1147" s="143">
        <f>HLOOKUP("start",ESLData!H$1:H$9960,MATCH($A1147,ESLData!$B$1:$B$9960,0))</f>
        <v>87660.2</v>
      </c>
      <c r="H1147" s="168">
        <f>ROUND(SUM(G1147),0)</f>
        <v>87660</v>
      </c>
      <c r="I1147" s="148">
        <f>ROUND(SUM(G1144:G1147),0)</f>
        <v>1292515</v>
      </c>
      <c r="K1147" s="142" t="str">
        <f>IF(ISNA(HLOOKUP("start",ESLData!C$1:C$9960,MATCH($A1147,ESLData!$B$1:$B$9960,0))),"",HLOOKUP("start",ESLData!C$1:C$9960,MATCH($A1147,ESLData!$B$1:$B$9960,0)))</f>
        <v>Interest Accrual</v>
      </c>
    </row>
    <row r="1148" spans="1:11" ht="14.25" customHeight="1" x14ac:dyDescent="0.2">
      <c r="A1148" s="144">
        <v>9120</v>
      </c>
      <c r="C1148" s="164">
        <f>HLOOKUP("start",ESLData!E$1:E$9960,MATCH($A1148,ESLData!$B$1:$B$9960,0))</f>
        <v>415599</v>
      </c>
      <c r="D1148" s="163"/>
      <c r="E1148" s="143">
        <f>HLOOKUP("start",ESLData!F$1:F$9960,MATCH($A1148,ESLData!$B$1:$B$9960,0))</f>
        <v>488263</v>
      </c>
      <c r="F1148" s="148">
        <f>ROUND(SUM(E1148),0)</f>
        <v>488263</v>
      </c>
      <c r="G1148" s="143">
        <f>HLOOKUP("start",ESLData!H$1:H$9960,MATCH($A1148,ESLData!$B$1:$B$9960,0))</f>
        <v>488263</v>
      </c>
      <c r="H1148" s="148">
        <f>ROUND(SUM(G1148),0)</f>
        <v>488263</v>
      </c>
      <c r="K1148" s="142" t="str">
        <f>IF(ISNA(HLOOKUP("start",ESLData!C$1:C$9960,MATCH($A1148,ESLData!$B$1:$B$9960,0))),"",HLOOKUP("start",ESLData!C$1:C$9960,MATCH($A1148,ESLData!$B$1:$B$9960,0)))</f>
        <v>Staff Banking Underuse</v>
      </c>
    </row>
    <row r="1149" spans="1:11" ht="14.25" customHeight="1" x14ac:dyDescent="0.2">
      <c r="C1149" s="171"/>
      <c r="D1149" s="163">
        <f>ROUND(SUM(C1142:C1149),0)</f>
        <v>2089334</v>
      </c>
      <c r="E1149" s="143"/>
      <c r="F1149" s="148"/>
      <c r="G1149" s="143"/>
      <c r="H1149" s="148"/>
    </row>
    <row r="1150" spans="1:11" ht="14.25" customHeight="1" x14ac:dyDescent="0.2">
      <c r="A1150" s="147" t="s">
        <v>785</v>
      </c>
      <c r="C1150" s="143"/>
      <c r="E1150" s="143"/>
      <c r="G1150" s="143"/>
      <c r="K1150" s="142" t="str">
        <f>IF(ISNA(HLOOKUP("start",ESLData!C$1:C$9960,MATCH($A1150,ESLData!$B$1:$B$9960,0))),"",HLOOKUP("start",ESLData!C$1:C$9960,MATCH($A1150,ESLData!$B$1:$B$9960,0)))</f>
        <v/>
      </c>
    </row>
    <row r="1151" spans="1:11" ht="14.25" customHeight="1" x14ac:dyDescent="0.2">
      <c r="A1151" s="144">
        <v>9030</v>
      </c>
      <c r="C1151" s="143">
        <f>HLOOKUP("start",ESLData!E$1:E$9960,MATCH($A1151,ESLData!$B$1:$B$9960,0))</f>
        <v>184419.76</v>
      </c>
      <c r="E1151" s="143">
        <f>HLOOKUP("start",ESLData!F$1:F$9960,MATCH($A1151,ESLData!$B$1:$B$9960,0))</f>
        <v>155747</v>
      </c>
      <c r="G1151" s="143">
        <f>HLOOKUP("start",ESLData!H$1:H$9960,MATCH($A1151,ESLData!$B$1:$B$9960,0))</f>
        <v>174292.42</v>
      </c>
      <c r="K1151" s="142" t="str">
        <f>IF(ISNA(HLOOKUP("start",ESLData!C$1:C$9960,MATCH($A1151,ESLData!$B$1:$B$9960,0))),"",HLOOKUP("start",ESLData!C$1:C$9960,MATCH($A1151,ESLData!$B$1:$B$9960,0)))</f>
        <v>GST Input Tax</v>
      </c>
    </row>
    <row r="1152" spans="1:11" ht="14.25" customHeight="1" x14ac:dyDescent="0.2">
      <c r="A1152" s="144">
        <v>9035</v>
      </c>
      <c r="C1152" s="143">
        <f>HLOOKUP("start",ESLData!E$1:E$9960,MATCH($A1152,ESLData!$B$1:$B$9960,0))</f>
        <v>0</v>
      </c>
      <c r="E1152" s="143">
        <f>HLOOKUP("start",ESLData!F$1:F$9960,MATCH($A1152,ESLData!$B$1:$B$9960,0))</f>
        <v>0</v>
      </c>
      <c r="G1152" s="143">
        <f>HLOOKUP("start",ESLData!H$1:H$9960,MATCH($A1152,ESLData!$B$1:$B$9960,0))</f>
        <v>0</v>
      </c>
      <c r="K1152" s="142" t="str">
        <f>IF(ISNA(HLOOKUP("start",ESLData!C$1:C$9960,MATCH($A1152,ESLData!$B$1:$B$9960,0))),"",HLOOKUP("start",ESLData!C$1:C$9960,MATCH($A1152,ESLData!$B$1:$B$9960,0)))</f>
        <v>GST Clearing Account</v>
      </c>
    </row>
    <row r="1153" spans="1:12" ht="14.25" customHeight="1" x14ac:dyDescent="0.2">
      <c r="A1153" s="144">
        <v>9040</v>
      </c>
      <c r="C1153" s="143">
        <f>HLOOKUP("start",ESLData!E$1:E$9960,MATCH($A1153,ESLData!$B$1:$B$9960,0))</f>
        <v>-24278.75</v>
      </c>
      <c r="D1153" s="148">
        <f>ROUND(SUM(C1151:C1153),0)</f>
        <v>160141</v>
      </c>
      <c r="E1153" s="143">
        <f>HLOOKUP("start",ESLData!F$1:F$9960,MATCH($A1153,ESLData!$B$1:$B$9960,0))</f>
        <v>0</v>
      </c>
      <c r="F1153" s="148">
        <f>ROUND(SUM(E1151:E1153),0)</f>
        <v>155747</v>
      </c>
      <c r="G1153" s="143">
        <f>HLOOKUP("start",ESLData!H$1:H$9960,MATCH($A1153,ESLData!$B$1:$B$9960,0))</f>
        <v>-18543.11</v>
      </c>
      <c r="H1153" s="148">
        <f>ROUND(SUM(G1151:G1153),0)</f>
        <v>155749</v>
      </c>
      <c r="K1153" s="142" t="str">
        <f>IF(ISNA(HLOOKUP("start",ESLData!C$1:C$9960,MATCH($A1153,ESLData!$B$1:$B$9960,0))),"",HLOOKUP("start",ESLData!C$1:C$9960,MATCH($A1153,ESLData!$B$1:$B$9960,0)))</f>
        <v>GST Output Tax</v>
      </c>
      <c r="L1153" s="148"/>
    </row>
    <row r="1154" spans="1:12" ht="14.25" customHeight="1" x14ac:dyDescent="0.2">
      <c r="A1154" s="147" t="s">
        <v>613</v>
      </c>
      <c r="C1154" s="143"/>
      <c r="E1154" s="143"/>
      <c r="G1154" s="143"/>
      <c r="K1154" s="142" t="str">
        <f>IF(ISNA(HLOOKUP("start",ESLData!C$1:C$9960,MATCH($A1154,ESLData!$B$1:$B$9960,0))),"",HLOOKUP("start",ESLData!C$1:C$9960,MATCH($A1154,ESLData!$B$1:$B$9960,0)))</f>
        <v/>
      </c>
    </row>
    <row r="1155" spans="1:12" ht="14.25" customHeight="1" x14ac:dyDescent="0.2">
      <c r="A1155" s="144">
        <v>9117</v>
      </c>
      <c r="C1155" s="143">
        <f>HLOOKUP("start",ESLData!E$1:E$9960,MATCH($A1155,ESLData!$B$1:$B$9960,0))</f>
        <v>190790.13</v>
      </c>
      <c r="D1155" s="148">
        <f>ROUND(SUM(C1155),0)</f>
        <v>190790</v>
      </c>
      <c r="E1155" s="143">
        <f>HLOOKUP("start",ESLData!F$1:F$9960,MATCH($A1155,ESLData!$B$1:$B$9960,0))</f>
        <v>140600</v>
      </c>
      <c r="F1155" s="148">
        <f>ROUND(SUM(E1155),0)</f>
        <v>140600</v>
      </c>
      <c r="G1155" s="143">
        <f>HLOOKUP("start",ESLData!H$1:H$9960,MATCH($A1155,ESLData!$B$1:$B$9960,0))</f>
        <v>140600.23000000001</v>
      </c>
      <c r="H1155" s="148">
        <f>ROUND(SUM(G1155),0)</f>
        <v>140600</v>
      </c>
      <c r="K1155" s="142" t="str">
        <f>IF(ISNA(HLOOKUP("start",ESLData!C$1:C$9960,MATCH($A1155,ESLData!$B$1:$B$9960,0))),"",HLOOKUP("start",ESLData!C$1:C$9960,MATCH($A1155,ESLData!$B$1:$B$9960,0)))</f>
        <v>Prepayments</v>
      </c>
    </row>
    <row r="1156" spans="1:12" ht="14.25" customHeight="1" x14ac:dyDescent="0.2">
      <c r="A1156" s="147" t="s">
        <v>614</v>
      </c>
      <c r="C1156" s="143"/>
      <c r="E1156" s="143"/>
      <c r="G1156" s="143"/>
      <c r="K1156" s="142" t="str">
        <f>IF(ISNA(HLOOKUP("start",ESLData!C$1:C$9960,MATCH($A1156,ESLData!$B$1:$B$9960,0))),"",HLOOKUP("start",ESLData!C$1:C$9960,MATCH($A1156,ESLData!$B$1:$B$9960,0)))</f>
        <v/>
      </c>
    </row>
    <row r="1157" spans="1:12" ht="14.25" customHeight="1" x14ac:dyDescent="0.2">
      <c r="A1157" s="144">
        <v>9127</v>
      </c>
      <c r="C1157" s="143">
        <f>HLOOKUP("start",ESLData!E$1:E$9960,MATCH($A1157,ESLData!$B$1:$B$9960,0))</f>
        <v>3556.6</v>
      </c>
      <c r="D1157" s="163">
        <f>ROUND(SUM(C1157),0)</f>
        <v>3557</v>
      </c>
      <c r="E1157" s="143">
        <f>HLOOKUP("start",ESLData!F$1:F$9960,MATCH($A1157,ESLData!$B$1:$B$9960,0))</f>
        <v>3595</v>
      </c>
      <c r="F1157" s="148">
        <f>ROUND(SUM(E1157),0)</f>
        <v>3595</v>
      </c>
      <c r="G1157" s="143">
        <f>HLOOKUP("start",ESLData!H$1:H$9960,MATCH($A1157,ESLData!$B$1:$B$9960,0))</f>
        <v>3594.59</v>
      </c>
      <c r="H1157" s="168">
        <f>ROUND(SUM(G1157),0)</f>
        <v>3595</v>
      </c>
      <c r="K1157" s="142" t="str">
        <f>IF(ISNA(HLOOKUP("start",ESLData!C$1:C$9960,MATCH($A1157,ESLData!$B$1:$B$9960,0))),"",HLOOKUP("start",ESLData!C$1:C$9960,MATCH($A1157,ESLData!$B$1:$B$9960,0)))</f>
        <v>Stock on Hand</v>
      </c>
    </row>
    <row r="1158" spans="1:12" ht="14.25" customHeight="1" x14ac:dyDescent="0.2">
      <c r="C1158" s="143"/>
      <c r="D1158" s="163"/>
      <c r="E1158" s="143"/>
      <c r="F1158" s="148"/>
      <c r="G1158" s="143"/>
      <c r="H1158" s="168"/>
    </row>
    <row r="1159" spans="1:12" ht="14.25" customHeight="1" x14ac:dyDescent="0.2">
      <c r="C1159" s="143"/>
      <c r="D1159" s="163"/>
      <c r="E1159" s="143"/>
      <c r="F1159" s="148"/>
      <c r="G1159" s="143"/>
      <c r="H1159" s="168"/>
    </row>
    <row r="1160" spans="1:12" ht="14.25" customHeight="1" x14ac:dyDescent="0.2">
      <c r="A1160" s="147" t="s">
        <v>646</v>
      </c>
      <c r="C1160" s="143"/>
      <c r="E1160" s="143"/>
      <c r="G1160" s="143"/>
      <c r="K1160" s="142" t="str">
        <f>IF(ISNA(HLOOKUP("start",ESLData!C$1:C$9960,MATCH($A1160,ESLData!$B$1:$B$9960,0))),"",HLOOKUP("start",ESLData!C$1:C$9960,MATCH($A1160,ESLData!$B$1:$B$9960,0)))</f>
        <v/>
      </c>
    </row>
    <row r="1161" spans="1:12" ht="14.25" customHeight="1" x14ac:dyDescent="0.2">
      <c r="A1161" s="144">
        <v>9300</v>
      </c>
      <c r="C1161" s="143">
        <f>HLOOKUP("start",ESLData!E$1:E$9960,MATCH($A1161,ESLData!$B$1:$B$9960,0))*-1</f>
        <v>154574.32999999999</v>
      </c>
      <c r="D1161" s="163">
        <f>ROUND(SUM(C1161),0)</f>
        <v>154574</v>
      </c>
      <c r="E1161" s="143">
        <f>HLOOKUP("start",ESLData!F$1:F$9960,MATCH($A1161,ESLData!$B$1:$B$9960,0))*-1</f>
        <v>0</v>
      </c>
      <c r="F1161" s="163">
        <f>ROUND(SUM(E1161),0)</f>
        <v>0</v>
      </c>
      <c r="G1161" s="143">
        <f>HLOOKUP("start",ESLData!H$1:H$9960,MATCH($A1161,ESLData!$B$1:$B$9960,0))*-1</f>
        <v>53449.15</v>
      </c>
      <c r="H1161" s="168">
        <f>ROUND(SUM(G1161),0)</f>
        <v>53449</v>
      </c>
      <c r="K1161" s="142" t="str">
        <f>IF(ISNA(HLOOKUP("start",ESLData!C$1:C$9960,MATCH($A1161,ESLData!$B$1:$B$9960,0))),"",HLOOKUP("start",ESLData!C$1:C$9960,MATCH($A1161,ESLData!$B$1:$B$9960,0)))</f>
        <v>Creditors Control</v>
      </c>
    </row>
    <row r="1162" spans="1:12" ht="14.25" customHeight="1" x14ac:dyDescent="0.2">
      <c r="A1162" s="144">
        <v>9316</v>
      </c>
      <c r="C1162" s="143">
        <f>HLOOKUP("start",ESLData!E$1:E$9960,MATCH($A1162,ESLData!$B$1:$B$9960,0))*-1</f>
        <v>302421.64</v>
      </c>
      <c r="D1162" s="163">
        <f>ROUND(SUM(C1162),0)</f>
        <v>302422</v>
      </c>
      <c r="E1162" s="143">
        <f>HLOOKUP("start",ESLData!F$1:F$9960,MATCH($A1162,ESLData!$B$1:$B$9960,0))*-1</f>
        <v>0</v>
      </c>
      <c r="F1162" s="163">
        <f>ROUND(SUM(E1162),0)</f>
        <v>0</v>
      </c>
      <c r="G1162" s="143">
        <f>HLOOKUP("start",ESLData!H$1:H$9960,MATCH($A1162,ESLData!$B$1:$B$9960,0))*-1</f>
        <v>0</v>
      </c>
      <c r="H1162" s="168"/>
      <c r="K1162" s="142" t="str">
        <f>IF(ISNA(HLOOKUP("start",ESLData!C$1:C$9960,MATCH($A1162,ESLData!$B$1:$B$9960,0))),"",HLOOKUP("start",ESLData!C$1:C$9960,MATCH($A1162,ESLData!$B$1:$B$9960,0)))</f>
        <v>Payroll Creditors</v>
      </c>
    </row>
    <row r="1163" spans="1:12" ht="14.25" customHeight="1" x14ac:dyDescent="0.2">
      <c r="A1163" s="144">
        <v>9318</v>
      </c>
      <c r="C1163" s="143">
        <f>HLOOKUP("start",ESLData!E$1:E$9960,MATCH($A1163,ESLData!$B$1:$B$9960,0))*-1</f>
        <v>133650</v>
      </c>
      <c r="D1163" s="163">
        <f t="shared" ref="D1163:F1166" si="0">ROUND(SUM(C1163),0)</f>
        <v>133650</v>
      </c>
      <c r="E1163" s="143">
        <f>HLOOKUP("start",ESLData!F$1:F$9960,MATCH($A1163,ESLData!$B$1:$B$9960,0))*-1</f>
        <v>136396</v>
      </c>
      <c r="F1163" s="163">
        <f t="shared" si="0"/>
        <v>136396</v>
      </c>
      <c r="G1163" s="143">
        <f>HLOOKUP("start",ESLData!H$1:H$9960,MATCH($A1163,ESLData!$B$1:$B$9960,0))*-1</f>
        <v>136396.15</v>
      </c>
      <c r="H1163" s="168">
        <f t="shared" ref="H1163:H1166" si="1">ROUND(SUM(G1163),0)</f>
        <v>136396</v>
      </c>
      <c r="K1163" s="142" t="str">
        <f>IF(ISNA(HLOOKUP("start",ESLData!C$1:C$9960,MATCH($A1163,ESLData!$B$1:$B$9960,0))),"",HLOOKUP("start",ESLData!C$1:C$9960,MATCH($A1163,ESLData!$B$1:$B$9960,0)))</f>
        <v>Leave liability</v>
      </c>
    </row>
    <row r="1164" spans="1:12" ht="14.25" customHeight="1" x14ac:dyDescent="0.2">
      <c r="A1164" s="144">
        <v>9319</v>
      </c>
      <c r="C1164" s="143">
        <f>HLOOKUP("start",ESLData!E$1:E$9960,MATCH($A1164,ESLData!$B$1:$B$9960,0))*-1</f>
        <v>7927</v>
      </c>
      <c r="D1164" s="163">
        <f t="shared" si="0"/>
        <v>7927</v>
      </c>
      <c r="E1164" s="143">
        <f>HLOOKUP("start",ESLData!F$1:F$9960,MATCH($A1164,ESLData!$B$1:$B$9960,0))*-1</f>
        <v>8580</v>
      </c>
      <c r="F1164" s="163">
        <f t="shared" si="0"/>
        <v>8580</v>
      </c>
      <c r="G1164" s="143">
        <f>HLOOKUP("start",ESLData!H$1:H$9960,MATCH($A1164,ESLData!$B$1:$B$9960,0))*-1</f>
        <v>8580</v>
      </c>
      <c r="H1164" s="168">
        <f t="shared" si="1"/>
        <v>8580</v>
      </c>
      <c r="K1164" s="142" t="str">
        <f>IF(ISNA(HLOOKUP("start",ESLData!C$1:C$9960,MATCH($A1164,ESLData!$B$1:$B$9960,0))),"",HLOOKUP("start",ESLData!C$1:C$9960,MATCH($A1164,ESLData!$B$1:$B$9960,0)))</f>
        <v>Accrued Audit Fee</v>
      </c>
    </row>
    <row r="1165" spans="1:12" ht="14.25" customHeight="1" x14ac:dyDescent="0.2">
      <c r="A1165" s="144">
        <v>9320</v>
      </c>
      <c r="C1165" s="143">
        <f>HLOOKUP("start",ESLData!E$1:E$9960,MATCH($A1165,ESLData!$B$1:$B$9960,0))*-1</f>
        <v>135250.23999999999</v>
      </c>
      <c r="D1165" s="163">
        <f t="shared" si="0"/>
        <v>135250</v>
      </c>
      <c r="E1165" s="143">
        <f>HLOOKUP("start",ESLData!F$1:F$9960,MATCH($A1165,ESLData!$B$1:$B$9960,0))*-1</f>
        <v>195872</v>
      </c>
      <c r="F1165" s="163">
        <f t="shared" si="0"/>
        <v>195872</v>
      </c>
      <c r="G1165" s="143">
        <f>HLOOKUP("start",ESLData!H$1:H$9960,MATCH($A1165,ESLData!$B$1:$B$9960,0))*-1</f>
        <v>142421.84</v>
      </c>
      <c r="H1165" s="168">
        <f t="shared" si="1"/>
        <v>142422</v>
      </c>
      <c r="K1165" s="142" t="str">
        <f>IF(ISNA(HLOOKUP("start",ESLData!C$1:C$9960,MATCH($A1165,ESLData!$B$1:$B$9960,0))),"",HLOOKUP("start",ESLData!C$1:C$9960,MATCH($A1165,ESLData!$B$1:$B$9960,0)))</f>
        <v>Accounts Payable</v>
      </c>
    </row>
    <row r="1166" spans="1:12" ht="14.25" customHeight="1" x14ac:dyDescent="0.2">
      <c r="A1166" s="144" t="s">
        <v>523</v>
      </c>
      <c r="C1166" s="143">
        <f>HLOOKUP("start",ESLData!E$1:E$9960,MATCH($A1166,ESLData!$B$1:$B$9960,0))*-1</f>
        <v>1204657</v>
      </c>
      <c r="D1166" s="163">
        <f t="shared" si="0"/>
        <v>1204657</v>
      </c>
      <c r="E1166" s="143">
        <f>HLOOKUP("start",ESLData!F$1:F$9960,MATCH($A1166,ESLData!$B$1:$B$9960,0))*-1</f>
        <v>1080846</v>
      </c>
      <c r="F1166" s="163">
        <f t="shared" si="0"/>
        <v>1080846</v>
      </c>
      <c r="G1166" s="143">
        <f>HLOOKUP("start",ESLData!H$1:H$9960,MATCH($A1166,ESLData!$B$1:$B$9960,0))*-1</f>
        <v>1080846</v>
      </c>
      <c r="H1166" s="168">
        <f t="shared" si="1"/>
        <v>1080846</v>
      </c>
      <c r="K1166" s="142" t="str">
        <f>IF(ISNA(HLOOKUP("start",ESLData!C$1:C$9960,MATCH($A1166,ESLData!$B$1:$B$9960,0))),"",HLOOKUP("start",ESLData!C$1:C$9960,MATCH($A1166,ESLData!$B$1:$B$9960,0)))</f>
        <v>Teachers Salaries Accrual</v>
      </c>
    </row>
    <row r="1167" spans="1:12" ht="14.25" customHeight="1" x14ac:dyDescent="0.2">
      <c r="C1167" s="143"/>
      <c r="D1167" s="148"/>
      <c r="E1167" s="143"/>
      <c r="F1167" s="148"/>
      <c r="G1167" s="143"/>
      <c r="H1167" s="148"/>
    </row>
    <row r="1168" spans="1:12" ht="14.25" customHeight="1" x14ac:dyDescent="0.2">
      <c r="C1168" s="143"/>
      <c r="D1168" s="148"/>
      <c r="E1168" s="143"/>
      <c r="F1168" s="148"/>
      <c r="G1168" s="143"/>
      <c r="H1168" s="148"/>
    </row>
    <row r="1169" spans="1:15" ht="14.25" customHeight="1" x14ac:dyDescent="0.2">
      <c r="A1169" s="147" t="s">
        <v>786</v>
      </c>
      <c r="C1169" s="143"/>
      <c r="E1169" s="143"/>
      <c r="G1169" s="143"/>
      <c r="K1169" s="142" t="str">
        <f>IF(ISNA(HLOOKUP("start",ESLData!C$1:C$9960,MATCH($A1169,ESLData!$B$1:$B$9960,0))),"",HLOOKUP("start",ESLData!C$1:C$9960,MATCH($A1169,ESLData!$B$1:$B$9960,0)))</f>
        <v/>
      </c>
    </row>
    <row r="1170" spans="1:15" ht="14.25" customHeight="1" x14ac:dyDescent="0.2">
      <c r="A1170" s="144">
        <v>9322</v>
      </c>
      <c r="C1170" s="143">
        <f>HLOOKUP("start",ESLData!E$1:E$9960,MATCH($A1170,ESLData!$B$1:$B$9960,0))*-1</f>
        <v>8595.91</v>
      </c>
      <c r="D1170" s="148"/>
      <c r="E1170" s="143">
        <f>HLOOKUP("start",ESLData!F$1:F$9960,MATCH($A1170,ESLData!$B$1:$B$9960,0))*-1</f>
        <v>0</v>
      </c>
      <c r="F1170" s="178"/>
      <c r="G1170" s="143">
        <f>HLOOKUP("start",ESLData!H$1:H$9960,MATCH($A1170,ESLData!$B$1:$B$9960,0))*-1</f>
        <v>8595.91</v>
      </c>
      <c r="H1170" s="148"/>
      <c r="K1170" s="142" t="str">
        <f>IF(ISNA(HLOOKUP("start",ESLData!C$1:C$9960,MATCH($A1170,ESLData!$B$1:$B$9960,0))),"",HLOOKUP("start",ESLData!C$1:C$9960,MATCH($A1170,ESLData!$B$1:$B$9960,0)))</f>
        <v>Taranaki VRC Bequest</v>
      </c>
    </row>
    <row r="1171" spans="1:15" ht="14.25" customHeight="1" x14ac:dyDescent="0.2">
      <c r="A1171" s="144">
        <v>9328</v>
      </c>
      <c r="C1171" s="143">
        <f>HLOOKUP("start",ESLData!E$1:E$9960,MATCH($A1171,ESLData!$B$1:$B$9960,0))*-1</f>
        <v>52868.98</v>
      </c>
      <c r="E1171" s="143">
        <f>HLOOKUP("start",ESLData!F$1:F$9960,MATCH($A1171,ESLData!$B$1:$B$9960,0))*-1</f>
        <v>0</v>
      </c>
      <c r="G1171" s="143">
        <f>HLOOKUP("start",ESLData!H$1:H$9960,MATCH($A1171,ESLData!$B$1:$B$9960,0))*-1</f>
        <v>0</v>
      </c>
      <c r="K1171" s="142" t="str">
        <f>IF(ISNA(HLOOKUP("start",ESLData!C$1:C$9960,MATCH($A1171,ESLData!$B$1:$B$9960,0))),"",HLOOKUP("start",ESLData!C$1:C$9960,MATCH($A1171,ESLData!$B$1:$B$9960,0)))</f>
        <v>Grants in Advance</v>
      </c>
    </row>
    <row r="1172" spans="1:15" ht="14.25" customHeight="1" x14ac:dyDescent="0.2">
      <c r="A1172" s="144">
        <v>9601</v>
      </c>
      <c r="C1172" s="143">
        <f>HLOOKUP("start",ESLData!E$1:E$9960,MATCH($A1172,ESLData!$B$1:$B$9960,0))*-1</f>
        <v>96.55</v>
      </c>
      <c r="E1172" s="143">
        <f>HLOOKUP("start",ESLData!F$1:F$9960,MATCH($A1172,ESLData!$B$1:$B$9960,0))*-1</f>
        <v>0</v>
      </c>
      <c r="G1172" s="143">
        <f>HLOOKUP("start",ESLData!H$1:H$9960,MATCH($A1172,ESLData!$B$1:$B$9960,0))*-1</f>
        <v>96.55</v>
      </c>
      <c r="K1172" s="142" t="str">
        <f>IF(ISNA(HLOOKUP("start",ESLData!C$1:C$9960,MATCH($A1172,ESLData!$B$1:$B$9960,0))),"",HLOOKUP("start",ESLData!C$1:C$9960,MATCH($A1172,ESLData!$B$1:$B$9960,0)))</f>
        <v>Doherty Fund</v>
      </c>
    </row>
    <row r="1173" spans="1:15" ht="14.25" customHeight="1" x14ac:dyDescent="0.2">
      <c r="A1173" s="144">
        <v>9602</v>
      </c>
      <c r="C1173" s="143">
        <f>HLOOKUP("start",ESLData!E$1:E$9960,MATCH($A1173,ESLData!$B$1:$B$9960,0))*-1</f>
        <v>0</v>
      </c>
      <c r="E1173" s="143">
        <f>HLOOKUP("start",ESLData!F$1:F$9960,MATCH($A1173,ESLData!$B$1:$B$9960,0))*-1</f>
        <v>68497</v>
      </c>
      <c r="G1173" s="143">
        <f>HLOOKUP("start",ESLData!H$1:H$9960,MATCH($A1173,ESLData!$B$1:$B$9960,0))*-1</f>
        <v>0</v>
      </c>
      <c r="K1173" s="142" t="str">
        <f>IF(ISNA(HLOOKUP("start",ESLData!C$1:C$9960,MATCH($A1173,ESLData!$B$1:$B$9960,0))),"",HLOOKUP("start",ESLData!C$1:C$9960,MATCH($A1173,ESLData!$B$1:$B$9960,0)))</f>
        <v>Duke Of Edinburgh Award</v>
      </c>
    </row>
    <row r="1174" spans="1:15" ht="14.25" customHeight="1" x14ac:dyDescent="0.2">
      <c r="A1174" s="144">
        <v>9603</v>
      </c>
      <c r="C1174" s="143">
        <f>HLOOKUP("start",ESLData!E$1:E$9960,MATCH($A1174,ESLData!$B$1:$B$9960,0))*-1</f>
        <v>0</v>
      </c>
      <c r="E1174" s="143">
        <f>HLOOKUP("start",ESLData!F$1:F$9960,MATCH($A1174,ESLData!$B$1:$B$9960,0))*-1</f>
        <v>0</v>
      </c>
      <c r="G1174" s="143">
        <f>HLOOKUP("start",ESLData!H$1:H$9960,MATCH($A1174,ESLData!$B$1:$B$9960,0))*-1</f>
        <v>0</v>
      </c>
      <c r="K1174" s="142" t="str">
        <f>IF(ISNA(HLOOKUP("start",ESLData!C$1:C$9960,MATCH($A1174,ESLData!$B$1:$B$9960,0))),"",HLOOKUP("start",ESLData!C$1:C$9960,MATCH($A1174,ESLData!$B$1:$B$9960,0)))</f>
        <v>Gap Student Grant</v>
      </c>
    </row>
    <row r="1175" spans="1:15" ht="14.25" customHeight="1" x14ac:dyDescent="0.2">
      <c r="A1175" s="144">
        <v>9604</v>
      </c>
      <c r="C1175" s="143">
        <f>HLOOKUP("start",ESLData!E$1:E$9960,MATCH($A1175,ESLData!$B$1:$B$9960,0))*-1</f>
        <v>0</v>
      </c>
      <c r="E1175" s="143">
        <f>HLOOKUP("start",ESLData!F$1:F$9960,MATCH($A1175,ESLData!$B$1:$B$9960,0))*-1</f>
        <v>0</v>
      </c>
      <c r="G1175" s="143">
        <f>HLOOKUP("start",ESLData!H$1:H$9960,MATCH($A1175,ESLData!$B$1:$B$9960,0))*-1</f>
        <v>0</v>
      </c>
      <c r="K1175" s="142" t="str">
        <f>IF(ISNA(HLOOKUP("start",ESLData!C$1:C$9960,MATCH($A1175,ESLData!$B$1:$B$9960,0))),"",HLOOKUP("start",ESLData!C$1:C$9960,MATCH($A1175,ESLData!$B$1:$B$9960,0)))</f>
        <v>Grant In Advance-Current Year</v>
      </c>
    </row>
    <row r="1176" spans="1:15" ht="14.25" customHeight="1" x14ac:dyDescent="0.2">
      <c r="A1176" s="144">
        <v>9605</v>
      </c>
      <c r="C1176" s="143">
        <f>HLOOKUP("start",ESLData!E$1:E$9960,MATCH($A1176,ESLData!$B$1:$B$9960,0))*-1</f>
        <v>0</v>
      </c>
      <c r="E1176" s="143">
        <f>HLOOKUP("start",ESLData!F$1:F$9960,MATCH($A1176,ESLData!$B$1:$B$9960,0))*-1</f>
        <v>0</v>
      </c>
      <c r="G1176" s="143">
        <f>HLOOKUP("start",ESLData!H$1:H$9960,MATCH($A1176,ESLData!$B$1:$B$9960,0))*-1</f>
        <v>0</v>
      </c>
      <c r="K1176" s="142" t="str">
        <f>IF(ISNA(HLOOKUP("start",ESLData!C$1:C$9960,MATCH($A1176,ESLData!$B$1:$B$9960,0))),"",HLOOKUP("start",ESLData!C$1:C$9960,MATCH($A1176,ESLData!$B$1:$B$9960,0)))</f>
        <v>Income In Advance</v>
      </c>
    </row>
    <row r="1177" spans="1:15" ht="14.25" customHeight="1" x14ac:dyDescent="0.2">
      <c r="A1177" s="144">
        <v>9606</v>
      </c>
      <c r="C1177" s="143">
        <f>HLOOKUP("start",ESLData!E$1:E$9960,MATCH($A1177,ESLData!$B$1:$B$9960,0))*-1</f>
        <v>76.28</v>
      </c>
      <c r="E1177" s="143">
        <f>HLOOKUP("start",ESLData!F$1:F$9960,MATCH($A1177,ESLData!$B$1:$B$9960,0))*-1</f>
        <v>0</v>
      </c>
      <c r="G1177" s="143">
        <f>HLOOKUP("start",ESLData!H$1:H$9960,MATCH($A1177,ESLData!$B$1:$B$9960,0))*-1</f>
        <v>76.28</v>
      </c>
      <c r="K1177" s="142" t="str">
        <f>IF(ISNA(HLOOKUP("start",ESLData!C$1:C$9960,MATCH($A1177,ESLData!$B$1:$B$9960,0))),"",HLOOKUP("start",ESLData!C$1:C$9960,MATCH($A1177,ESLData!$B$1:$B$9960,0)))</f>
        <v>Kickstart</v>
      </c>
    </row>
    <row r="1178" spans="1:15" ht="14.25" customHeight="1" x14ac:dyDescent="0.2">
      <c r="A1178" s="144">
        <v>9607</v>
      </c>
      <c r="C1178" s="143">
        <f>HLOOKUP("start",ESLData!E$1:E$9960,MATCH($A1178,ESLData!$B$1:$B$9960,0))*-1</f>
        <v>0</v>
      </c>
      <c r="E1178" s="143">
        <f>HLOOKUP("start",ESLData!F$1:F$9960,MATCH($A1178,ESLData!$B$1:$B$9960,0))*-1</f>
        <v>0</v>
      </c>
      <c r="G1178" s="143">
        <f>HLOOKUP("start",ESLData!H$1:H$9960,MATCH($A1178,ESLData!$B$1:$B$9960,0))*-1</f>
        <v>0</v>
      </c>
      <c r="K1178" s="142" t="str">
        <f>IF(ISNA(HLOOKUP("start",ESLData!C$1:C$9960,MATCH($A1178,ESLData!$B$1:$B$9960,0))),"",HLOOKUP("start",ESLData!C$1:C$9960,MATCH($A1178,ESLData!$B$1:$B$9960,0)))</f>
        <v>Music School</v>
      </c>
    </row>
    <row r="1179" spans="1:15" ht="14.25" customHeight="1" x14ac:dyDescent="0.2">
      <c r="A1179" s="144">
        <v>9608</v>
      </c>
      <c r="C1179" s="143">
        <f>HLOOKUP("start",ESLData!E$1:E$9960,MATCH($A1179,ESLData!$B$1:$B$9960,0))*-1</f>
        <v>0</v>
      </c>
      <c r="E1179" s="143">
        <f>HLOOKUP("start",ESLData!F$1:F$9960,MATCH($A1179,ESLData!$B$1:$B$9960,0))*-1</f>
        <v>0</v>
      </c>
      <c r="G1179" s="143">
        <f>HLOOKUP("start",ESLData!H$1:H$9960,MATCH($A1179,ESLData!$B$1:$B$9960,0))*-1</f>
        <v>0</v>
      </c>
      <c r="K1179" s="142" t="str">
        <f>IF(ISNA(HLOOKUP("start",ESLData!C$1:C$9960,MATCH($A1179,ESLData!$B$1:$B$9960,0))),"",HLOOKUP("start",ESLData!C$1:C$9960,MATCH($A1179,ESLData!$B$1:$B$9960,0)))</f>
        <v>Music Trust</v>
      </c>
    </row>
    <row r="1180" spans="1:15" ht="14.25" customHeight="1" x14ac:dyDescent="0.2">
      <c r="A1180" s="144">
        <v>9609</v>
      </c>
      <c r="C1180" s="143">
        <f>HLOOKUP("start",ESLData!E$1:E$9960,MATCH($A1180,ESLData!$B$1:$B$9960,0))*-1</f>
        <v>0</v>
      </c>
      <c r="E1180" s="143">
        <f>HLOOKUP("start",ESLData!F$1:F$9960,MATCH($A1180,ESLData!$B$1:$B$9960,0))*-1</f>
        <v>0</v>
      </c>
      <c r="G1180" s="143">
        <f>HLOOKUP("start",ESLData!H$1:H$9960,MATCH($A1180,ESLData!$B$1:$B$9960,0))*-1</f>
        <v>0</v>
      </c>
      <c r="K1180" s="142" t="str">
        <f>IF(ISNA(HLOOKUP("start",ESLData!C$1:C$9960,MATCH($A1180,ESLData!$B$1:$B$9960,0))),"",HLOOKUP("start",ESLData!C$1:C$9960,MATCH($A1180,ESLData!$B$1:$B$9960,0)))</f>
        <v>Nowak-Kruger Trust</v>
      </c>
    </row>
    <row r="1181" spans="1:15" ht="14.25" customHeight="1" x14ac:dyDescent="0.2">
      <c r="A1181" s="144">
        <v>9610</v>
      </c>
      <c r="C1181" s="143">
        <f>HLOOKUP("start",ESLData!E$1:E$9960,MATCH($A1181,ESLData!$B$1:$B$9960,0))*-1</f>
        <v>3259.98</v>
      </c>
      <c r="E1181" s="143">
        <f>HLOOKUP("start",ESLData!F$1:F$9960,MATCH($A1181,ESLData!$B$1:$B$9960,0))*-1</f>
        <v>0</v>
      </c>
      <c r="G1181" s="143">
        <f>HLOOKUP("start",ESLData!H$1:H$9960,MATCH($A1181,ESLData!$B$1:$B$9960,0))*-1</f>
        <v>3259.98</v>
      </c>
      <c r="K1181" s="142" t="str">
        <f>IF(ISNA(HLOOKUP("start",ESLData!C$1:C$9960,MATCH($A1181,ESLData!$B$1:$B$9960,0))),"",HLOOKUP("start",ESLData!C$1:C$9960,MATCH($A1181,ESLData!$B$1:$B$9960,0)))</f>
        <v>Otago VRC</v>
      </c>
    </row>
    <row r="1182" spans="1:15" ht="14.25" customHeight="1" x14ac:dyDescent="0.2">
      <c r="A1182" s="144">
        <v>9611</v>
      </c>
      <c r="C1182" s="143">
        <f>HLOOKUP("start",ESLData!E$1:E$9960,MATCH($A1182,ESLData!$B$1:$B$9960,0))*-1</f>
        <v>386.35</v>
      </c>
      <c r="E1182" s="143">
        <f>HLOOKUP("start",ESLData!F$1:F$9960,MATCH($A1182,ESLData!$B$1:$B$9960,0))*-1</f>
        <v>0</v>
      </c>
      <c r="G1182" s="143">
        <f>HLOOKUP("start",ESLData!H$1:H$9960,MATCH($A1182,ESLData!$B$1:$B$9960,0))*-1</f>
        <v>386.35</v>
      </c>
      <c r="K1182" s="142" t="str">
        <f>IF(ISNA(HLOOKUP("start",ESLData!C$1:C$9960,MATCH($A1182,ESLData!$B$1:$B$9960,0))),"",HLOOKUP("start",ESLData!C$1:C$9960,MATCH($A1182,ESLData!$B$1:$B$9960,0)))</f>
        <v>Palmerston North VRC</v>
      </c>
    </row>
    <row r="1183" spans="1:15" ht="14.25" customHeight="1" x14ac:dyDescent="0.2">
      <c r="A1183" s="144">
        <v>9612</v>
      </c>
      <c r="C1183" s="143">
        <f>HLOOKUP("start",ESLData!E$1:E$9960,MATCH($A1183,ESLData!$B$1:$B$9960,0))*-1</f>
        <v>316.86</v>
      </c>
      <c r="E1183" s="143">
        <f>HLOOKUP("start",ESLData!F$1:F$9960,MATCH($A1183,ESLData!$B$1:$B$9960,0))*-1</f>
        <v>0</v>
      </c>
      <c r="G1183" s="143">
        <f>HLOOKUP("start",ESLData!H$1:H$9960,MATCH($A1183,ESLData!$B$1:$B$9960,0))*-1</f>
        <v>316.86</v>
      </c>
      <c r="K1183" s="142" t="str">
        <f>IF(ISNA(HLOOKUP("start",ESLData!C$1:C$9960,MATCH($A1183,ESLData!$B$1:$B$9960,0))),"",HLOOKUP("start",ESLData!C$1:C$9960,MATCH($A1183,ESLData!$B$1:$B$9960,0)))</f>
        <v>Southland VRC</v>
      </c>
    </row>
    <row r="1184" spans="1:15" ht="14.25" customHeight="1" x14ac:dyDescent="0.2">
      <c r="A1184" s="144">
        <v>9613</v>
      </c>
      <c r="C1184" s="143">
        <f>HLOOKUP("start",ESLData!E$1:E$9960,MATCH($A1184,ESLData!$B$1:$B$9960,0))*-1</f>
        <v>15977.23</v>
      </c>
      <c r="E1184" s="143">
        <f>HLOOKUP("start",ESLData!F$1:F$9960,MATCH($A1184,ESLData!$B$1:$B$9960,0))*-1</f>
        <v>0</v>
      </c>
      <c r="G1184" s="143">
        <f>HLOOKUP("start",ESLData!H$1:H$9960,MATCH($A1184,ESLData!$B$1:$B$9960,0))*-1</f>
        <v>17489.77</v>
      </c>
      <c r="K1184" s="142" t="str">
        <f>IF(ISNA(HLOOKUP("start",ESLData!C$1:C$9960,MATCH($A1184,ESLData!$B$1:$B$9960,0))),"",HLOOKUP("start",ESLData!C$1:C$9960,MATCH($A1184,ESLData!$B$1:$B$9960,0)))</f>
        <v>Special Ed. Equip. Grant</v>
      </c>
      <c r="O1184" s="146" t="s">
        <v>781</v>
      </c>
    </row>
    <row r="1185" spans="1:12" ht="14.25" customHeight="1" x14ac:dyDescent="0.2">
      <c r="A1185" s="144">
        <v>9614</v>
      </c>
      <c r="C1185" s="143">
        <f>HLOOKUP("start",ESLData!E$1:E$9960,MATCH($A1185,ESLData!$B$1:$B$9960,0))*-1</f>
        <v>0</v>
      </c>
      <c r="E1185" s="143">
        <f>HLOOKUP("start",ESLData!F$1:F$9960,MATCH($A1185,ESLData!$B$1:$B$9960,0))*-1</f>
        <v>0</v>
      </c>
      <c r="G1185" s="143">
        <f>HLOOKUP("start",ESLData!H$1:H$9960,MATCH($A1185,ESLData!$B$1:$B$9960,0))*-1</f>
        <v>0</v>
      </c>
      <c r="K1185" s="142" t="str">
        <f>IF(ISNA(HLOOKUP("start",ESLData!C$1:C$9960,MATCH($A1185,ESLData!$B$1:$B$9960,0))),"",HLOOKUP("start",ESLData!C$1:C$9960,MATCH($A1185,ESLData!$B$1:$B$9960,0)))</f>
        <v>Vision Education Agency</v>
      </c>
    </row>
    <row r="1186" spans="1:12" ht="14.25" customHeight="1" x14ac:dyDescent="0.2">
      <c r="A1186" s="144">
        <v>9615</v>
      </c>
      <c r="C1186" s="143">
        <f>HLOOKUP("start",ESLData!E$1:E$9960,MATCH($A1186,ESLData!$B$1:$B$9960,0))*-1</f>
        <v>16594.43</v>
      </c>
      <c r="E1186" s="143">
        <f>HLOOKUP("start",ESLData!F$1:F$9960,MATCH($A1186,ESLData!$B$1:$B$9960,0))*-1</f>
        <v>0</v>
      </c>
      <c r="G1186" s="143">
        <f>HLOOKUP("start",ESLData!H$1:H$9960,MATCH($A1186,ESLData!$B$1:$B$9960,0))*-1</f>
        <v>16594.43</v>
      </c>
      <c r="K1186" s="142" t="str">
        <f>IF(ISNA(HLOOKUP("start",ESLData!C$1:C$9960,MATCH($A1186,ESLData!$B$1:$B$9960,0))),"",HLOOKUP("start",ESLData!C$1:C$9960,MATCH($A1186,ESLData!$B$1:$B$9960,0)))</f>
        <v>Visual Resource Centres</v>
      </c>
    </row>
    <row r="1187" spans="1:12" ht="14.25" customHeight="1" x14ac:dyDescent="0.2">
      <c r="A1187" s="144">
        <v>9616</v>
      </c>
      <c r="C1187" s="143">
        <f>HLOOKUP("start",ESLData!E$1:E$9960,MATCH($A1187,ESLData!$B$1:$B$9960,0))*-1</f>
        <v>0</v>
      </c>
      <c r="E1187" s="143">
        <f>HLOOKUP("start",ESLData!F$1:F$9960,MATCH($A1187,ESLData!$B$1:$B$9960,0))*-1</f>
        <v>0</v>
      </c>
      <c r="G1187" s="143">
        <f>HLOOKUP("start",ESLData!H$1:H$9960,MATCH($A1187,ESLData!$B$1:$B$9960,0))*-1</f>
        <v>0</v>
      </c>
      <c r="K1187" s="146" t="s">
        <v>1034</v>
      </c>
      <c r="L1187" s="210"/>
    </row>
    <row r="1188" spans="1:12" ht="14.25" customHeight="1" x14ac:dyDescent="0.2">
      <c r="A1188" s="144">
        <v>9617</v>
      </c>
      <c r="C1188" s="143">
        <f>HLOOKUP("start",ESLData!E$1:E$9960,MATCH($A1188,ESLData!$B$1:$B$9960,0))*-1</f>
        <v>4276.74</v>
      </c>
      <c r="E1188" s="143">
        <f>HLOOKUP("start",ESLData!F$1:F$9960,MATCH($A1188,ESLData!$B$1:$B$9960,0))*-1</f>
        <v>0</v>
      </c>
      <c r="G1188" s="143">
        <f>HLOOKUP("start",ESLData!H$1:H$9960,MATCH($A1188,ESLData!$B$1:$B$9960,0))*-1</f>
        <v>5595.98</v>
      </c>
      <c r="K1188" s="142" t="str">
        <f>IF(ISNA(HLOOKUP("start",ESLData!C$1:C$9960,MATCH($A1188,ESLData!$B$1:$B$9960,0))),"",HLOOKUP("start",ESLData!C$1:C$9960,MATCH($A1188,ESLData!$B$1:$B$9960,0)))</f>
        <v>Auckland North VRC</v>
      </c>
    </row>
    <row r="1189" spans="1:12" ht="14.25" customHeight="1" x14ac:dyDescent="0.2">
      <c r="A1189" s="144">
        <v>9618</v>
      </c>
      <c r="C1189" s="143">
        <f>HLOOKUP("start",ESLData!E$1:E$9960,MATCH($A1189,ESLData!$B$1:$B$9960,0))*-1</f>
        <v>1785.12</v>
      </c>
      <c r="D1189" s="163">
        <f>ROUND(SUM(C1169:C1189),0)</f>
        <v>104234</v>
      </c>
      <c r="E1189" s="143">
        <f>HLOOKUP("start",ESLData!F$1:F$9960,MATCH($A1189,ESLData!$B$1:$B$9960,0))*-1</f>
        <v>0</v>
      </c>
      <c r="F1189" s="163">
        <f>ROUND(SUM(E1169:E1189),0)</f>
        <v>68497</v>
      </c>
      <c r="G1189" s="143">
        <f>HLOOKUP("start",ESLData!H$1:H$9960,MATCH($A1189,ESLData!$B$1:$B$9960,0))*-1</f>
        <v>16084.25</v>
      </c>
      <c r="H1189" s="163">
        <f>ROUND(SUM(G1169:G1189),0)</f>
        <v>68496</v>
      </c>
      <c r="K1189" s="142" t="str">
        <f>IF(ISNA(HLOOKUP("start",ESLData!C$1:C$9960,MATCH($A1189,ESLData!$B$1:$B$9960,0))),"",HLOOKUP("start",ESLData!C$1:C$9960,MATCH($A1189,ESLData!$B$1:$B$9960,0)))</f>
        <v>South Auckland Vision Trust</v>
      </c>
    </row>
    <row r="1190" spans="1:12" ht="14.25" customHeight="1" x14ac:dyDescent="0.2">
      <c r="C1190" s="143"/>
      <c r="D1190" s="148"/>
      <c r="E1190" s="143"/>
      <c r="F1190" s="148"/>
      <c r="G1190" s="143"/>
      <c r="H1190" s="148"/>
    </row>
    <row r="1191" spans="1:12" ht="14.25" customHeight="1" x14ac:dyDescent="0.2">
      <c r="C1191" s="143"/>
      <c r="D1191" s="148"/>
      <c r="E1191" s="143"/>
      <c r="F1191" s="148"/>
      <c r="G1191" s="143"/>
      <c r="H1191" s="148"/>
    </row>
    <row r="1192" spans="1:12" ht="14.25" customHeight="1" x14ac:dyDescent="0.2">
      <c r="A1192" s="147" t="s">
        <v>298</v>
      </c>
      <c r="C1192" s="143"/>
      <c r="E1192" s="143"/>
      <c r="G1192" s="143"/>
      <c r="K1192" s="142" t="str">
        <f>IF(ISNA(HLOOKUP("start",ESLData!C$1:C$9960,MATCH($A1192,ESLData!$B$1:$B$9960,0))),"",HLOOKUP("start",ESLData!C$1:C$9960,MATCH($A1192,ESLData!$B$1:$B$9960,0)))</f>
        <v/>
      </c>
    </row>
    <row r="1193" spans="1:12" ht="14.25" customHeight="1" x14ac:dyDescent="0.2">
      <c r="A1193" s="144">
        <v>9329</v>
      </c>
      <c r="C1193" s="143">
        <f>HLOOKUP("start",ESLData!E$1:E$9960,MATCH($A1193,ESLData!$B$1:$B$9960,0))*-1</f>
        <v>94308</v>
      </c>
      <c r="D1193" s="163">
        <f>ROUND(SUM(C1193),0)</f>
        <v>94308</v>
      </c>
      <c r="E1193" s="143">
        <f>HLOOKUP("start",ESLData!F$1:F$9960,MATCH($A1193,ESLData!$B$1:$B$9960,0))*-1</f>
        <v>38001</v>
      </c>
      <c r="F1193" s="148">
        <f>ROUND(SUM(E1193),0)</f>
        <v>38001</v>
      </c>
      <c r="G1193" s="143">
        <f>HLOOKUP("start",ESLData!H$1:H$9960,MATCH($A1193,ESLData!$B$1:$B$9960,0))*-1</f>
        <v>94632</v>
      </c>
      <c r="H1193" s="148">
        <f>ROUND(SUM(G1193),0)</f>
        <v>94632</v>
      </c>
      <c r="K1193" s="142" t="str">
        <f>IF(ISNA(HLOOKUP("start",ESLData!C$1:C$9960,MATCH($A1193,ESLData!$B$1:$B$9960,0))),"",HLOOKUP("start",ESLData!C$1:C$9960,MATCH($A1193,ESLData!$B$1:$B$9960,0)))</f>
        <v>Cyclical Maintenance Provision</v>
      </c>
    </row>
    <row r="1194" spans="1:12" ht="14.25" customHeight="1" x14ac:dyDescent="0.2">
      <c r="A1194" s="144">
        <v>9429</v>
      </c>
      <c r="C1194" s="143">
        <f>HLOOKUP("start",ESLData!E$1:E$9960,MATCH($A1194,ESLData!$B$1:$B$9960,0))*-1</f>
        <v>43556</v>
      </c>
      <c r="D1194" s="163">
        <f>ROUND(SUM(C1194),0)</f>
        <v>43556</v>
      </c>
      <c r="E1194" s="143">
        <f>HLOOKUP("start",ESLData!F$1:F$9960,MATCH($A1194,ESLData!$B$1:$B$9960,0))*-1</f>
        <v>0</v>
      </c>
      <c r="F1194" s="148">
        <f>ROUND(SUM(E1194),0)</f>
        <v>0</v>
      </c>
      <c r="G1194" s="143">
        <f>HLOOKUP("start",ESLData!H$1:H$9960,MATCH($A1194,ESLData!$B$1:$B$9960,0))*-1</f>
        <v>22190</v>
      </c>
      <c r="H1194" s="148">
        <f>ROUND(SUM(G1194),0)</f>
        <v>22190</v>
      </c>
      <c r="K1194" s="142" t="str">
        <f>IF(ISNA(HLOOKUP("start",ESLData!C$1:C$9960,MATCH($A1194,ESLData!$B$1:$B$9960,0))),"",HLOOKUP("start",ESLData!C$1:C$9960,MATCH($A1194,ESLData!$B$1:$B$9960,0)))</f>
        <v>Cyclical Maintenance Provision</v>
      </c>
    </row>
    <row r="1195" spans="1:12" ht="14.25" customHeight="1" x14ac:dyDescent="0.2">
      <c r="C1195" s="143"/>
      <c r="D1195" s="148"/>
      <c r="E1195" s="143"/>
      <c r="F1195" s="148"/>
      <c r="G1195" s="143"/>
      <c r="H1195" s="148"/>
    </row>
    <row r="1196" spans="1:12" ht="14.25" customHeight="1" x14ac:dyDescent="0.2">
      <c r="C1196" s="143"/>
      <c r="D1196" s="148"/>
      <c r="E1196" s="143"/>
      <c r="F1196" s="148"/>
      <c r="G1196" s="143"/>
      <c r="H1196" s="148"/>
    </row>
    <row r="1197" spans="1:12" ht="14.25" customHeight="1" x14ac:dyDescent="0.2">
      <c r="A1197" s="147" t="s">
        <v>787</v>
      </c>
      <c r="C1197" s="143"/>
      <c r="E1197" s="143"/>
      <c r="G1197" s="143"/>
      <c r="K1197" s="142" t="str">
        <f>IF(ISNA(HLOOKUP("start",ESLData!C$1:C$9960,MATCH($A1197,ESLData!$B$1:$B$9960,0))),"",HLOOKUP("start",ESLData!C$1:C$9960,MATCH($A1197,ESLData!$B$1:$B$9960,0)))</f>
        <v/>
      </c>
    </row>
    <row r="1198" spans="1:12" ht="14.25" customHeight="1" x14ac:dyDescent="0.2">
      <c r="A1198" s="144">
        <v>9370</v>
      </c>
      <c r="C1198" s="143">
        <f>HLOOKUP("start",ESLData!E$1:E$9960,MATCH($A1198,ESLData!$B$1:$B$9960,0))</f>
        <v>9063699.1699999999</v>
      </c>
      <c r="E1198" s="143">
        <f>HLOOKUP("start",ESLData!F$1:F$9960,MATCH($A1198,ESLData!$B$1:$B$9960,0))</f>
        <v>9009288</v>
      </c>
      <c r="F1198" s="148">
        <f>ROUND(SUM(E1198),0)</f>
        <v>9009288</v>
      </c>
      <c r="G1198" s="143">
        <f>HLOOKUP("start",ESLData!H$1:H$9960,MATCH($A1198,ESLData!$B$1:$B$9960,0))</f>
        <v>7740253.0499999998</v>
      </c>
      <c r="K1198" s="142" t="str">
        <f>IF(ISNA(HLOOKUP("start",ESLData!C$1:C$9960,MATCH($A1198,ESLData!$B$1:$B$9960,0))),"",HLOOKUP("start",ESLData!C$1:C$9960,MATCH($A1198,ESLData!$B$1:$B$9960,0)))</f>
        <v>Fixed Assets</v>
      </c>
    </row>
    <row r="1199" spans="1:12" ht="14.25" customHeight="1" x14ac:dyDescent="0.2">
      <c r="A1199" s="144" t="s">
        <v>544</v>
      </c>
      <c r="C1199" s="143">
        <f>HLOOKUP("start",ESLData!E$1:E$9960,MATCH($A1199,ESLData!$B$1:$B$9960,0))</f>
        <v>0</v>
      </c>
      <c r="E1199" s="143">
        <f>HLOOKUP("start",ESLData!F$1:F$9960,MATCH($A1199,ESLData!$B$1:$B$9960,0))</f>
        <v>0</v>
      </c>
      <c r="G1199" s="143">
        <f>HLOOKUP("start",ESLData!H$1:H$9960,MATCH($A1199,ESLData!$B$1:$B$9960,0))</f>
        <v>0</v>
      </c>
      <c r="K1199" s="142" t="str">
        <f>IF(ISNA(HLOOKUP("start",ESLData!C$1:C$9960,MATCH($A1199,ESLData!$B$1:$B$9960,0))),"",HLOOKUP("start",ESLData!C$1:C$9960,MATCH($A1199,ESLData!$B$1:$B$9960,0)))</f>
        <v>Disposal of Assets</v>
      </c>
    </row>
    <row r="1200" spans="1:12" ht="14.25" customHeight="1" x14ac:dyDescent="0.2">
      <c r="A1200" s="144" t="s">
        <v>137</v>
      </c>
      <c r="C1200" s="143">
        <f>HLOOKUP("start",ESLData!E$1:E$9960,MATCH($A1200,ESLData!$B$1:$B$9960,0))</f>
        <v>-12910.58</v>
      </c>
      <c r="E1200" s="143">
        <f>HLOOKUP("start",ESLData!F$1:F$9960,MATCH($A1200,ESLData!$B$1:$B$9960,0))</f>
        <v>0</v>
      </c>
      <c r="G1200" s="143">
        <f>HLOOKUP("start",ESLData!H$1:H$9960,MATCH($A1200,ESLData!$B$1:$B$9960,0))</f>
        <v>-8986.23</v>
      </c>
      <c r="K1200" s="142" t="str">
        <f>IF(ISNA(HLOOKUP("start",ESLData!C$1:C$9960,MATCH($A1200,ESLData!$B$1:$B$9960,0))),"",HLOOKUP("start",ESLData!C$1:C$9960,MATCH($A1200,ESLData!$B$1:$B$9960,0)))</f>
        <v>Gain/(Loss) on Disposal</v>
      </c>
    </row>
    <row r="1201" spans="1:11" ht="14.25" customHeight="1" x14ac:dyDescent="0.2">
      <c r="A1201" s="145" t="s">
        <v>1054</v>
      </c>
      <c r="C1201" s="143">
        <f>HLOOKUP("start",ESLData!E$1:E$9960,MATCH($A1201,ESLData!$B$1:$B$9960,0))</f>
        <v>0</v>
      </c>
      <c r="E1201" s="143">
        <f>HLOOKUP("start",ESLData!F$1:F$9960,MATCH($A1201,ESLData!$B$1:$B$9960,0))</f>
        <v>0</v>
      </c>
      <c r="G1201" s="143">
        <f>HLOOKUP("start",ESLData!H$1:H$9960,MATCH($A1201,ESLData!$B$1:$B$9960,0))</f>
        <v>0</v>
      </c>
      <c r="K1201" s="142" t="str">
        <f>IF(ISNA(HLOOKUP("start",ESLData!C$1:C$9960,MATCH($A1201,ESLData!$B$1:$B$9960,0))),"",HLOOKUP("start",ESLData!C$1:C$9960,MATCH($A1201,ESLData!$B$1:$B$9960,0)))</f>
        <v>Non-Cash Disposals</v>
      </c>
    </row>
    <row r="1202" spans="1:11" ht="14.25" customHeight="1" x14ac:dyDescent="0.2">
      <c r="A1202" s="144" t="s">
        <v>546</v>
      </c>
      <c r="C1202" s="143">
        <f>HLOOKUP("start",ESLData!E$1:E$9960,MATCH($A1202,ESLData!$B$1:$B$9960,0))</f>
        <v>0</v>
      </c>
      <c r="E1202" s="143">
        <f>HLOOKUP("start",ESLData!F$1:F$9960,MATCH($A1202,ESLData!$B$1:$B$9960,0))</f>
        <v>0</v>
      </c>
      <c r="G1202" s="143">
        <f>HLOOKUP("start",ESLData!H$1:H$9960,MATCH($A1202,ESLData!$B$1:$B$9960,0))</f>
        <v>892.17</v>
      </c>
      <c r="K1202" s="142" t="str">
        <f>IF(ISNA(HLOOKUP("start",ESLData!C$1:C$9960,MATCH($A1202,ESLData!$B$1:$B$9960,0))),"",HLOOKUP("start",ESLData!C$1:C$9960,MATCH($A1202,ESLData!$B$1:$B$9960,0)))</f>
        <v>Pur FA - Nelson</v>
      </c>
    </row>
    <row r="1203" spans="1:11" ht="14.25" customHeight="1" x14ac:dyDescent="0.2">
      <c r="A1203" s="144" t="s">
        <v>547</v>
      </c>
      <c r="C1203" s="143">
        <f>HLOOKUP("start",ESLData!E$1:E$9960,MATCH($A1203,ESLData!$B$1:$B$9960,0))</f>
        <v>164621.51</v>
      </c>
      <c r="E1203" s="143">
        <f>HLOOKUP("start",ESLData!F$1:F$9960,MATCH($A1203,ESLData!$B$1:$B$9960,0))</f>
        <v>182389</v>
      </c>
      <c r="G1203" s="143">
        <f>HLOOKUP("start",ESLData!H$1:H$9960,MATCH($A1203,ESLData!$B$1:$B$9960,0))</f>
        <v>99422.65</v>
      </c>
      <c r="K1203" s="142" t="str">
        <f>IF(ISNA(HLOOKUP("start",ESLData!C$1:C$9960,MATCH($A1203,ESLData!$B$1:$B$9960,0))),"",HLOOKUP("start",ESLData!C$1:C$9960,MATCH($A1203,ESLData!$B$1:$B$9960,0)))</f>
        <v>Pur FA - Administration</v>
      </c>
    </row>
    <row r="1204" spans="1:11" ht="14.25" customHeight="1" x14ac:dyDescent="0.2">
      <c r="A1204" s="144" t="s">
        <v>548</v>
      </c>
      <c r="C1204" s="143">
        <f>HLOOKUP("start",ESLData!E$1:E$9960,MATCH($A1204,ESLData!$B$1:$B$9960,0))</f>
        <v>9721.9500000000007</v>
      </c>
      <c r="E1204" s="143">
        <f>HLOOKUP("start",ESLData!F$1:F$9960,MATCH($A1204,ESLData!$B$1:$B$9960,0))</f>
        <v>33400</v>
      </c>
      <c r="G1204" s="143">
        <f>HLOOKUP("start",ESLData!H$1:H$9960,MATCH($A1204,ESLData!$B$1:$B$9960,0))</f>
        <v>11854.2</v>
      </c>
      <c r="K1204" s="142" t="str">
        <f>IF(ISNA(HLOOKUP("start",ESLData!C$1:C$9960,MATCH($A1204,ESLData!$B$1:$B$9960,0))),"",HLOOKUP("start",ESLData!C$1:C$9960,MATCH($A1204,ESLData!$B$1:$B$9960,0)))</f>
        <v>Pur FA - AVRC North-West</v>
      </c>
    </row>
    <row r="1205" spans="1:11" ht="14.25" customHeight="1" x14ac:dyDescent="0.2">
      <c r="A1205" s="144" t="s">
        <v>549</v>
      </c>
      <c r="C1205" s="143">
        <f>HLOOKUP("start",ESLData!E$1:E$9960,MATCH($A1205,ESLData!$B$1:$B$9960,0))</f>
        <v>0</v>
      </c>
      <c r="E1205" s="143">
        <f>HLOOKUP("start",ESLData!F$1:F$9960,MATCH($A1205,ESLData!$B$1:$B$9960,0))</f>
        <v>0</v>
      </c>
      <c r="G1205" s="143">
        <f>HLOOKUP("start",ESLData!H$1:H$9960,MATCH($A1205,ESLData!$B$1:$B$9960,0))</f>
        <v>517.39</v>
      </c>
      <c r="K1205" s="142" t="str">
        <f>IF(ISNA(HLOOKUP("start",ESLData!C$1:C$9960,MATCH($A1205,ESLData!$B$1:$B$9960,0))),"",HLOOKUP("start",ESLData!C$1:C$9960,MATCH($A1205,ESLData!$B$1:$B$9960,0)))</f>
        <v>Pur FA - Christchurch</v>
      </c>
    </row>
    <row r="1206" spans="1:11" ht="14.25" customHeight="1" x14ac:dyDescent="0.2">
      <c r="A1206" s="144" t="s">
        <v>550</v>
      </c>
      <c r="C1206" s="143">
        <f>HLOOKUP("start",ESLData!E$1:E$9960,MATCH($A1206,ESLData!$B$1:$B$9960,0))</f>
        <v>17452.580000000002</v>
      </c>
      <c r="E1206" s="143">
        <f>HLOOKUP("start",ESLData!F$1:F$9960,MATCH($A1206,ESLData!$B$1:$B$9960,0))</f>
        <v>82000</v>
      </c>
      <c r="G1206" s="143">
        <f>HLOOKUP("start",ESLData!H$1:H$9960,MATCH($A1206,ESLData!$B$1:$B$9960,0))</f>
        <v>10134.14</v>
      </c>
      <c r="K1206" s="142" t="str">
        <f>IF(ISNA(HLOOKUP("start",ESLData!C$1:C$9960,MATCH($A1206,ESLData!$B$1:$B$9960,0))),"",HLOOKUP("start",ESLData!C$1:C$9960,MATCH($A1206,ESLData!$B$1:$B$9960,0)))</f>
        <v>Pur FA - Core School</v>
      </c>
    </row>
    <row r="1207" spans="1:11" ht="14.25" customHeight="1" x14ac:dyDescent="0.2">
      <c r="A1207" s="144" t="s">
        <v>551</v>
      </c>
      <c r="C1207" s="143">
        <f>HLOOKUP("start",ESLData!E$1:E$9960,MATCH($A1207,ESLData!$B$1:$B$9960,0))</f>
        <v>2275</v>
      </c>
      <c r="E1207" s="143">
        <f>HLOOKUP("start",ESLData!F$1:F$9960,MATCH($A1207,ESLData!$B$1:$B$9960,0))</f>
        <v>2100</v>
      </c>
      <c r="G1207" s="143">
        <f>HLOOKUP("start",ESLData!H$1:H$9960,MATCH($A1207,ESLData!$B$1:$B$9960,0))</f>
        <v>1472</v>
      </c>
      <c r="K1207" s="142" t="str">
        <f>IF(ISNA(HLOOKUP("start",ESLData!C$1:C$9960,MATCH($A1207,ESLData!$B$1:$B$9960,0))),"",HLOOKUP("start",ESLData!C$1:C$9960,MATCH($A1207,ESLData!$B$1:$B$9960,0)))</f>
        <v>Pur FA - Gisborne VRC</v>
      </c>
    </row>
    <row r="1208" spans="1:11" ht="14.25" customHeight="1" x14ac:dyDescent="0.2">
      <c r="A1208" s="144" t="s">
        <v>552</v>
      </c>
      <c r="C1208" s="143">
        <f>HLOOKUP("start",ESLData!E$1:E$9960,MATCH($A1208,ESLData!$B$1:$B$9960,0))</f>
        <v>4304.3500000000004</v>
      </c>
      <c r="E1208" s="143">
        <f>HLOOKUP("start",ESLData!F$1:F$9960,MATCH($A1208,ESLData!$B$1:$B$9960,0))</f>
        <v>37200</v>
      </c>
      <c r="G1208" s="143">
        <f>HLOOKUP("start",ESLData!H$1:H$9960,MATCH($A1208,ESLData!$B$1:$B$9960,0))</f>
        <v>2883.48</v>
      </c>
      <c r="K1208" s="142" t="str">
        <f>IF(ISNA(HLOOKUP("start",ESLData!C$1:C$9960,MATCH($A1208,ESLData!$B$1:$B$9960,0))),"",HLOOKUP("start",ESLData!C$1:C$9960,MATCH($A1208,ESLData!$B$1:$B$9960,0)))</f>
        <v>Pur FA - Hamilton</v>
      </c>
    </row>
    <row r="1209" spans="1:11" ht="14.25" customHeight="1" x14ac:dyDescent="0.2">
      <c r="A1209" s="144" t="s">
        <v>553</v>
      </c>
      <c r="C1209" s="143">
        <f>HLOOKUP("start",ESLData!E$1:E$9960,MATCH($A1209,ESLData!$B$1:$B$9960,0))</f>
        <v>6411.95</v>
      </c>
      <c r="E1209" s="143">
        <f>HLOOKUP("start",ESLData!F$1:F$9960,MATCH($A1209,ESLData!$B$1:$B$9960,0))</f>
        <v>5300</v>
      </c>
      <c r="G1209" s="143">
        <f>HLOOKUP("start",ESLData!H$1:H$9960,MATCH($A1209,ESLData!$B$1:$B$9960,0))</f>
        <v>643.76</v>
      </c>
      <c r="K1209" s="142" t="str">
        <f>IF(ISNA(HLOOKUP("start",ESLData!C$1:C$9960,MATCH($A1209,ESLData!$B$1:$B$9960,0))),"",HLOOKUP("start",ESLData!C$1:C$9960,MATCH($A1209,ESLData!$B$1:$B$9960,0)))</f>
        <v>Pur FA - National Assessment</v>
      </c>
    </row>
    <row r="1210" spans="1:11" ht="14.25" customHeight="1" x14ac:dyDescent="0.2">
      <c r="A1210" s="144" t="s">
        <v>554</v>
      </c>
      <c r="C1210" s="143">
        <f>HLOOKUP("start",ESLData!E$1:E$9960,MATCH($A1210,ESLData!$B$1:$B$9960,0))</f>
        <v>0</v>
      </c>
      <c r="E1210" s="143">
        <f>HLOOKUP("start",ESLData!F$1:F$9960,MATCH($A1210,ESLData!$B$1:$B$9960,0))</f>
        <v>0</v>
      </c>
      <c r="G1210" s="143">
        <f>HLOOKUP("start",ESLData!H$1:H$9960,MATCH($A1210,ESLData!$B$1:$B$9960,0))</f>
        <v>0</v>
      </c>
      <c r="K1210" s="142" t="str">
        <f>IF(ISNA(HLOOKUP("start",ESLData!C$1:C$9960,MATCH($A1210,ESLData!$B$1:$B$9960,0))),"",HLOOKUP("start",ESLData!C$1:C$9960,MATCH($A1210,ESLData!$B$1:$B$9960,0)))</f>
        <v>Pur FA - Otago</v>
      </c>
    </row>
    <row r="1211" spans="1:11" ht="14.25" customHeight="1" x14ac:dyDescent="0.2">
      <c r="A1211" s="144" t="s">
        <v>555</v>
      </c>
      <c r="C1211" s="143">
        <f>HLOOKUP("start",ESLData!E$1:E$9960,MATCH($A1211,ESLData!$B$1:$B$9960,0))</f>
        <v>5104.51</v>
      </c>
      <c r="E1211" s="143">
        <f>HLOOKUP("start",ESLData!F$1:F$9960,MATCH($A1211,ESLData!$B$1:$B$9960,0))</f>
        <v>4250</v>
      </c>
      <c r="G1211" s="143">
        <f>HLOOKUP("start",ESLData!H$1:H$9960,MATCH($A1211,ESLData!$B$1:$B$9960,0))</f>
        <v>4138.7299999999996</v>
      </c>
      <c r="K1211" s="142" t="str">
        <f>IF(ISNA(HLOOKUP("start",ESLData!C$1:C$9960,MATCH($A1211,ESLData!$B$1:$B$9960,0))),"",HLOOKUP("start",ESLData!C$1:C$9960,MATCH($A1211,ESLData!$B$1:$B$9960,0)))</f>
        <v>Pur FA - Palmerston North</v>
      </c>
    </row>
    <row r="1212" spans="1:11" ht="14.25" customHeight="1" x14ac:dyDescent="0.2">
      <c r="A1212" s="144" t="s">
        <v>556</v>
      </c>
      <c r="C1212" s="143">
        <f>HLOOKUP("start",ESLData!E$1:E$9960,MATCH($A1212,ESLData!$B$1:$B$9960,0))</f>
        <v>53090</v>
      </c>
      <c r="E1212" s="143">
        <f>HLOOKUP("start",ESLData!F$1:F$9960,MATCH($A1212,ESLData!$B$1:$B$9960,0))</f>
        <v>4000</v>
      </c>
      <c r="G1212" s="143">
        <f>HLOOKUP("start",ESLData!H$1:H$9960,MATCH($A1212,ESLData!$B$1:$B$9960,0))</f>
        <v>36533.43</v>
      </c>
      <c r="K1212" s="142" t="str">
        <f>IF(ISNA(HLOOKUP("start",ESLData!C$1:C$9960,MATCH($A1212,ESLData!$B$1:$B$9960,0))),"",HLOOKUP("start",ESLData!C$1:C$9960,MATCH($A1212,ESLData!$B$1:$B$9960,0)))</f>
        <v>Pur FA - Playground</v>
      </c>
    </row>
    <row r="1213" spans="1:11" ht="14.25" customHeight="1" x14ac:dyDescent="0.2">
      <c r="A1213" s="144" t="s">
        <v>557</v>
      </c>
      <c r="C1213" s="143">
        <f>HLOOKUP("start",ESLData!E$1:E$9960,MATCH($A1213,ESLData!$B$1:$B$9960,0))</f>
        <v>0</v>
      </c>
      <c r="E1213" s="143">
        <f>HLOOKUP("start",ESLData!F$1:F$9960,MATCH($A1213,ESLData!$B$1:$B$9960,0))</f>
        <v>0</v>
      </c>
      <c r="G1213" s="143">
        <f>HLOOKUP("start",ESLData!H$1:H$9960,MATCH($A1213,ESLData!$B$1:$B$9960,0))</f>
        <v>0</v>
      </c>
      <c r="K1213" s="142" t="str">
        <f>IF(ISNA(HLOOKUP("start",ESLData!C$1:C$9960,MATCH($A1213,ESLData!$B$1:$B$9960,0))),"",HLOOKUP("start",ESLData!C$1:C$9960,MATCH($A1213,ESLData!$B$1:$B$9960,0)))</f>
        <v>Pur FA - Prof Develop</v>
      </c>
    </row>
    <row r="1214" spans="1:11" ht="14.25" customHeight="1" x14ac:dyDescent="0.2">
      <c r="A1214" s="144" t="s">
        <v>558</v>
      </c>
      <c r="C1214" s="143">
        <f>HLOOKUP("start",ESLData!E$1:E$9960,MATCH($A1214,ESLData!$B$1:$B$9960,0))</f>
        <v>42665.37</v>
      </c>
      <c r="E1214" s="143">
        <f>HLOOKUP("start",ESLData!F$1:F$9960,MATCH($A1214,ESLData!$B$1:$B$9960,0))</f>
        <v>68964</v>
      </c>
      <c r="G1214" s="143">
        <f>HLOOKUP("start",ESLData!H$1:H$9960,MATCH($A1214,ESLData!$B$1:$B$9960,0))</f>
        <v>34081.81</v>
      </c>
      <c r="K1214" s="142" t="str">
        <f>IF(ISNA(HLOOKUP("start",ESLData!C$1:C$9960,MATCH($A1214,ESLData!$B$1:$B$9960,0))),"",HLOOKUP("start",ESLData!C$1:C$9960,MATCH($A1214,ESLData!$B$1:$B$9960,0)))</f>
        <v>Pur FA - Residential</v>
      </c>
    </row>
    <row r="1215" spans="1:11" ht="14.25" customHeight="1" x14ac:dyDescent="0.2">
      <c r="A1215" s="144" t="s">
        <v>563</v>
      </c>
      <c r="C1215" s="143">
        <f>HLOOKUP("start",ESLData!E$1:E$9960,MATCH($A1215,ESLData!$B$1:$B$9960,0))</f>
        <v>0</v>
      </c>
      <c r="E1215" s="143">
        <f>HLOOKUP("start",ESLData!F$1:F$9960,MATCH($A1215,ESLData!$B$1:$B$9960,0))</f>
        <v>0</v>
      </c>
      <c r="G1215" s="143">
        <f>HLOOKUP("start",ESLData!H$1:H$9960,MATCH($A1215,ESLData!$B$1:$B$9960,0))</f>
        <v>886</v>
      </c>
      <c r="K1215" s="142" t="str">
        <f>IF(ISNA(HLOOKUP("start",ESLData!C$1:C$9960,MATCH($A1215,ESLData!$B$1:$B$9960,0))),"",HLOOKUP("start",ESLData!C$1:C$9960,MATCH($A1215,ESLData!$B$1:$B$9960,0)))</f>
        <v>Pur FA - Southland</v>
      </c>
    </row>
    <row r="1216" spans="1:11" ht="14.25" customHeight="1" x14ac:dyDescent="0.2">
      <c r="A1216" s="144" t="s">
        <v>564</v>
      </c>
      <c r="C1216" s="143">
        <f>HLOOKUP("start",ESLData!E$1:E$9960,MATCH($A1216,ESLData!$B$1:$B$9960,0))</f>
        <v>1295</v>
      </c>
      <c r="E1216" s="143">
        <f>HLOOKUP("start",ESLData!F$1:F$9960,MATCH($A1216,ESLData!$B$1:$B$9960,0))</f>
        <v>1400</v>
      </c>
      <c r="G1216" s="143">
        <f>HLOOKUP("start",ESLData!H$1:H$9960,MATCH($A1216,ESLData!$B$1:$B$9960,0))</f>
        <v>3515.74</v>
      </c>
      <c r="K1216" s="142" t="str">
        <f>IF(ISNA(HLOOKUP("start",ESLData!C$1:C$9960,MATCH($A1216,ESLData!$B$1:$B$9960,0))),"",HLOOKUP("start",ESLData!C$1:C$9960,MATCH($A1216,ESLData!$B$1:$B$9960,0)))</f>
        <v>Pur FA - Taranaki</v>
      </c>
    </row>
    <row r="1217" spans="1:11" ht="14.25" customHeight="1" x14ac:dyDescent="0.2">
      <c r="A1217" s="144" t="s">
        <v>565</v>
      </c>
      <c r="C1217" s="143">
        <f>HLOOKUP("start",ESLData!E$1:E$9960,MATCH($A1217,ESLData!$B$1:$B$9960,0))</f>
        <v>4599.08</v>
      </c>
      <c r="E1217" s="143">
        <f>HLOOKUP("start",ESLData!F$1:F$9960,MATCH($A1217,ESLData!$B$1:$B$9960,0))</f>
        <v>4800</v>
      </c>
      <c r="G1217" s="143">
        <f>HLOOKUP("start",ESLData!H$1:H$9960,MATCH($A1217,ESLData!$B$1:$B$9960,0))</f>
        <v>9535.2099999999991</v>
      </c>
      <c r="K1217" s="142" t="str">
        <f>IF(ISNA(HLOOKUP("start",ESLData!C$1:C$9960,MATCH($A1217,ESLData!$B$1:$B$9960,0))),"",HLOOKUP("start",ESLData!C$1:C$9960,MATCH($A1217,ESLData!$B$1:$B$9960,0)))</f>
        <v>Pur FA - Tauranga</v>
      </c>
    </row>
    <row r="1218" spans="1:11" ht="14.25" customHeight="1" x14ac:dyDescent="0.2">
      <c r="A1218" s="144" t="s">
        <v>566</v>
      </c>
      <c r="C1218" s="143">
        <f>HLOOKUP("start",ESLData!E$1:E$9960,MATCH($A1218,ESLData!$B$1:$B$9960,0))</f>
        <v>1295</v>
      </c>
      <c r="E1218" s="143">
        <f>HLOOKUP("start",ESLData!F$1:F$9960,MATCH($A1218,ESLData!$B$1:$B$9960,0))</f>
        <v>1400</v>
      </c>
      <c r="G1218" s="143">
        <f>HLOOKUP("start",ESLData!H$1:H$9960,MATCH($A1218,ESLData!$B$1:$B$9960,0))</f>
        <v>2335</v>
      </c>
      <c r="K1218" s="142" t="str">
        <f>IF(ISNA(HLOOKUP("start",ESLData!C$1:C$9960,MATCH($A1218,ESLData!$B$1:$B$9960,0))),"",HLOOKUP("start",ESLData!C$1:C$9960,MATCH($A1218,ESLData!$B$1:$B$9960,0)))</f>
        <v>Pur FA - Wellington</v>
      </c>
    </row>
    <row r="1219" spans="1:11" ht="14.25" customHeight="1" x14ac:dyDescent="0.2">
      <c r="A1219" s="144" t="s">
        <v>567</v>
      </c>
      <c r="C1219" s="143">
        <f>HLOOKUP("start",ESLData!E$1:E$9960,MATCH($A1219,ESLData!$B$1:$B$9960,0))</f>
        <v>0</v>
      </c>
      <c r="E1219" s="143">
        <f>HLOOKUP("start",ESLData!F$1:F$9960,MATCH($A1219,ESLData!$B$1:$B$9960,0))</f>
        <v>0</v>
      </c>
      <c r="G1219" s="143">
        <f>HLOOKUP("start",ESLData!H$1:H$9960,MATCH($A1219,ESLData!$B$1:$B$9960,0))</f>
        <v>0</v>
      </c>
      <c r="K1219" s="142" t="str">
        <f>IF(ISNA(HLOOKUP("start",ESLData!C$1:C$9960,MATCH($A1219,ESLData!$B$1:$B$9960,0))),"",HLOOKUP("start",ESLData!C$1:C$9960,MATCH($A1219,ESLData!$B$1:$B$9960,0)))</f>
        <v>Pur FA - A&amp;T Service</v>
      </c>
    </row>
    <row r="1220" spans="1:11" ht="14.25" customHeight="1" x14ac:dyDescent="0.2">
      <c r="A1220" s="144" t="s">
        <v>568</v>
      </c>
      <c r="C1220" s="143">
        <f>HLOOKUP("start",ESLData!E$1:E$9960,MATCH($A1220,ESLData!$B$1:$B$9960,0))</f>
        <v>0</v>
      </c>
      <c r="E1220" s="143">
        <f>HLOOKUP("start",ESLData!F$1:F$9960,MATCH($A1220,ESLData!$B$1:$B$9960,0))</f>
        <v>0</v>
      </c>
      <c r="G1220" s="143">
        <f>HLOOKUP("start",ESLData!H$1:H$9960,MATCH($A1220,ESLData!$B$1:$B$9960,0))</f>
        <v>0</v>
      </c>
      <c r="K1220" s="142" t="str">
        <f>IF(ISNA(HLOOKUP("start",ESLData!C$1:C$9960,MATCH($A1220,ESLData!$B$1:$B$9960,0))),"",HLOOKUP("start",ESLData!C$1:C$9960,MATCH($A1220,ESLData!$B$1:$B$9960,0)))</f>
        <v>Pur FA - DOM</v>
      </c>
    </row>
    <row r="1221" spans="1:11" ht="14.25" customHeight="1" x14ac:dyDescent="0.2">
      <c r="A1221" s="144" t="s">
        <v>569</v>
      </c>
      <c r="C1221" s="143">
        <f>HLOOKUP("start",ESLData!E$1:E$9960,MATCH($A1221,ESLData!$B$1:$B$9960,0))</f>
        <v>0</v>
      </c>
      <c r="E1221" s="143">
        <f>HLOOKUP("start",ESLData!F$1:F$9960,MATCH($A1221,ESLData!$B$1:$B$9960,0))</f>
        <v>0</v>
      </c>
      <c r="G1221" s="143">
        <f>HLOOKUP("start",ESLData!H$1:H$9960,MATCH($A1221,ESLData!$B$1:$B$9960,0))</f>
        <v>0</v>
      </c>
      <c r="K1221" s="142" t="str">
        <f>IF(ISNA(HLOOKUP("start",ESLData!C$1:C$9960,MATCH($A1221,ESLData!$B$1:$B$9960,0))),"",HLOOKUP("start",ESLData!C$1:C$9960,MATCH($A1221,ESLData!$B$1:$B$9960,0)))</f>
        <v>Purchases - Buildings</v>
      </c>
    </row>
    <row r="1222" spans="1:11" ht="14.25" customHeight="1" x14ac:dyDescent="0.2">
      <c r="A1222" s="144" t="s">
        <v>571</v>
      </c>
      <c r="C1222" s="143">
        <f>HLOOKUP("start",ESLData!E$1:E$9960,MATCH($A1222,ESLData!$B$1:$B$9960,0))</f>
        <v>0</v>
      </c>
      <c r="E1222" s="143">
        <f>HLOOKUP("start",ESLData!F$1:F$9960,MATCH($A1222,ESLData!$B$1:$B$9960,0))</f>
        <v>0</v>
      </c>
      <c r="G1222" s="143">
        <f>HLOOKUP("start",ESLData!H$1:H$9960,MATCH($A1222,ESLData!$B$1:$B$9960,0))</f>
        <v>0</v>
      </c>
      <c r="K1222" s="142" t="str">
        <f>IF(ISNA(HLOOKUP("start",ESLData!C$1:C$9960,MATCH($A1222,ESLData!$B$1:$B$9960,0))),"",HLOOKUP("start",ESLData!C$1:C$9960,MATCH($A1222,ESLData!$B$1:$B$9960,0)))</f>
        <v>New School Equipment</v>
      </c>
    </row>
    <row r="1223" spans="1:11" ht="14.25" customHeight="1" x14ac:dyDescent="0.2">
      <c r="A1223" s="144" t="s">
        <v>573</v>
      </c>
      <c r="C1223" s="143">
        <f>HLOOKUP("start",ESLData!E$1:E$9960,MATCH($A1223,ESLData!$B$1:$B$9960,0))</f>
        <v>2901.72</v>
      </c>
      <c r="E1223" s="143">
        <f>HLOOKUP("start",ESLData!F$1:F$9960,MATCH($A1223,ESLData!$B$1:$B$9960,0))</f>
        <v>0</v>
      </c>
      <c r="G1223" s="143">
        <f>HLOOKUP("start",ESLData!H$1:H$9960,MATCH($A1223,ESLData!$B$1:$B$9960,0))</f>
        <v>10595.62</v>
      </c>
      <c r="K1223" s="142" t="str">
        <f>IF(ISNA(HLOOKUP("start",ESLData!C$1:C$9960,MATCH($A1223,ESLData!$B$1:$B$9960,0))),"",HLOOKUP("start",ESLData!C$1:C$9960,MATCH($A1223,ESLData!$B$1:$B$9960,0)))</f>
        <v>Pur FA - Immersion</v>
      </c>
    </row>
    <row r="1224" spans="1:11" ht="14.25" customHeight="1" x14ac:dyDescent="0.2">
      <c r="A1224" s="144" t="s">
        <v>574</v>
      </c>
      <c r="C1224" s="143">
        <f>HLOOKUP("start",ESLData!E$1:E$9960,MATCH($A1224,ESLData!$B$1:$B$9960,0))</f>
        <v>12523.68</v>
      </c>
      <c r="E1224" s="143">
        <f>HLOOKUP("start",ESLData!F$1:F$9960,MATCH($A1224,ESLData!$B$1:$B$9960,0))</f>
        <v>3335</v>
      </c>
      <c r="G1224" s="143">
        <f>HLOOKUP("start",ESLData!H$1:H$9960,MATCH($A1224,ESLData!$B$1:$B$9960,0))</f>
        <v>879.24</v>
      </c>
      <c r="K1224" s="142" t="str">
        <f>IF(ISNA(HLOOKUP("start",ESLData!C$1:C$9960,MATCH($A1224,ESLData!$B$1:$B$9960,0))),"",HLOOKUP("start",ESLData!C$1:C$9960,MATCH($A1224,ESLData!$B$1:$B$9960,0)))</f>
        <v>Pur FA - Napier</v>
      </c>
    </row>
    <row r="1225" spans="1:11" ht="14.25" customHeight="1" x14ac:dyDescent="0.2">
      <c r="A1225" s="144" t="s">
        <v>138</v>
      </c>
      <c r="C1225" s="143">
        <f>HLOOKUP("start",ESLData!E$1:E$9960,MATCH($A1225,ESLData!$B$1:$B$9960,0))</f>
        <v>1844</v>
      </c>
      <c r="E1225" s="143">
        <f>HLOOKUP("start",ESLData!F$1:F$9960,MATCH($A1225,ESLData!$B$1:$B$9960,0))</f>
        <v>2700</v>
      </c>
      <c r="G1225" s="143">
        <f>HLOOKUP("start",ESLData!H$1:H$9960,MATCH($A1225,ESLData!$B$1:$B$9960,0))</f>
        <v>2694.65</v>
      </c>
      <c r="K1225" s="142" t="str">
        <f>IF(ISNA(HLOOKUP("start",ESLData!C$1:C$9960,MATCH($A1225,ESLData!$B$1:$B$9960,0))),"",HLOOKUP("start",ESLData!C$1:C$9960,MATCH($A1225,ESLData!$B$1:$B$9960,0)))</f>
        <v>Pur FA - AVRC South-East</v>
      </c>
    </row>
    <row r="1226" spans="1:11" ht="14.25" customHeight="1" x14ac:dyDescent="0.2">
      <c r="A1226" s="144" t="s">
        <v>139</v>
      </c>
      <c r="C1226" s="143">
        <f>HLOOKUP("start",ESLData!E$1:E$9960,MATCH($A1226,ESLData!$B$1:$B$9960,0))</f>
        <v>0</v>
      </c>
      <c r="E1226" s="143">
        <f>HLOOKUP("start",ESLData!F$1:F$9960,MATCH($A1226,ESLData!$B$1:$B$9960,0))</f>
        <v>0</v>
      </c>
      <c r="G1226" s="143">
        <f>HLOOKUP("start",ESLData!H$1:H$9960,MATCH($A1226,ESLData!$B$1:$B$9960,0))</f>
        <v>0</v>
      </c>
      <c r="K1226" s="142" t="str">
        <f>IF(ISNA(HLOOKUP("start",ESLData!C$1:C$9960,MATCH($A1226,ESLData!$B$1:$B$9960,0))),"",HLOOKUP("start",ESLData!C$1:C$9960,MATCH($A1226,ESLData!$B$1:$B$9960,0)))</f>
        <v>Pur F/A - Northland</v>
      </c>
    </row>
    <row r="1227" spans="1:11" ht="14.25" customHeight="1" x14ac:dyDescent="0.2">
      <c r="A1227" s="145" t="s">
        <v>1056</v>
      </c>
      <c r="C1227" s="143">
        <f>HLOOKUP("start",ESLData!E$1:E$9960,MATCH($A1227,ESLData!$B$1:$B$9960,0))</f>
        <v>0</v>
      </c>
      <c r="E1227" s="143">
        <f>HLOOKUP("start",ESLData!F$1:F$9960,MATCH($A1227,ESLData!$B$1:$B$9960,0))</f>
        <v>0</v>
      </c>
      <c r="G1227" s="143">
        <f>HLOOKUP("start",ESLData!H$1:H$9960,MATCH($A1227,ESLData!$B$1:$B$9960,0))</f>
        <v>0</v>
      </c>
      <c r="K1227" s="142" t="str">
        <f>IF(ISNA(HLOOKUP("start",ESLData!C$1:C$9960,MATCH($A1227,ESLData!$B$1:$B$9960,0))),"",HLOOKUP("start",ESLData!C$1:C$9960,MATCH($A1227,ESLData!$B$1:$B$9960,0)))</f>
        <v>BELS</v>
      </c>
    </row>
    <row r="1228" spans="1:11" ht="14.25" customHeight="1" x14ac:dyDescent="0.2">
      <c r="A1228" s="145" t="s">
        <v>1134</v>
      </c>
      <c r="C1228" s="143">
        <f>HLOOKUP("start",ESLData!E$1:E$9960,MATCH($A1228,ESLData!$B$1:$B$9960,0))</f>
        <v>32967.4</v>
      </c>
      <c r="E1228" s="143">
        <f>HLOOKUP("start",ESLData!F$1:F$9960,MATCH($A1228,ESLData!$B$1:$B$9960,0))</f>
        <v>12700</v>
      </c>
      <c r="G1228" s="143">
        <f>HLOOKUP("start",ESLData!H$1:H$9960,MATCH($A1228,ESLData!$B$1:$B$9960,0))</f>
        <v>6576.37</v>
      </c>
      <c r="K1228" s="142" t="str">
        <f>IF(ISNA(HLOOKUP("start",ESLData!C$1:C$9960,MATCH($A1228,ESLData!$B$1:$B$9960,0))),"",HLOOKUP("start",ESLData!C$1:C$9960,MATCH($A1228,ESLData!$B$1:$B$9960,0)))</f>
        <v>Pur FA - Pukekohe</v>
      </c>
    </row>
    <row r="1229" spans="1:11" ht="14.25" customHeight="1" x14ac:dyDescent="0.2">
      <c r="A1229" s="145" t="s">
        <v>1491</v>
      </c>
      <c r="C1229" s="143">
        <f>HLOOKUP("start",ESLData!E$1:E$9960,MATCH($A1229,ESLData!$B$1:$B$9960,0))</f>
        <v>91811.74</v>
      </c>
      <c r="E1229" s="143">
        <f>HLOOKUP("start",ESLData!F$1:F$9960,MATCH($A1229,ESLData!$B$1:$B$9960,0))</f>
        <v>0</v>
      </c>
      <c r="G1229" s="143">
        <f>HLOOKUP("start",ESLData!H$1:H$9960,MATCH($A1229,ESLData!$B$1:$B$9960,0))</f>
        <v>130816.08</v>
      </c>
      <c r="K1229" s="142" t="str">
        <f>IF(ISNA(HLOOKUP("start",ESLData!C$1:C$9960,MATCH($A1229,ESLData!$B$1:$B$9960,0))),"",HLOOKUP("start",ESLData!C$1:C$9960,MATCH($A1229,ESLData!$B$1:$B$9960,0)))</f>
        <v>Scott Point</v>
      </c>
    </row>
    <row r="1230" spans="1:11" ht="14.25" customHeight="1" x14ac:dyDescent="0.2">
      <c r="A1230" s="144" t="s">
        <v>576</v>
      </c>
      <c r="C1230" s="143">
        <f>HLOOKUP("start",ESLData!E$1:E$9960,MATCH($A1230,ESLData!$B$1:$B$9960,0))</f>
        <v>0</v>
      </c>
      <c r="E1230" s="143">
        <f>HLOOKUP("start",ESLData!F$1:F$9960,MATCH($A1230,ESLData!$B$1:$B$9960,0))</f>
        <v>0</v>
      </c>
      <c r="G1230" s="143">
        <f>HLOOKUP("start",ESLData!H$1:H$9960,MATCH($A1230,ESLData!$B$1:$B$9960,0))</f>
        <v>0</v>
      </c>
      <c r="K1230" s="142" t="str">
        <f>IF(ISNA(HLOOKUP("start",ESLData!C$1:C$9960,MATCH($A1230,ESLData!$B$1:$B$9960,0))),"",HLOOKUP("start",ESLData!C$1:C$9960,MATCH($A1230,ESLData!$B$1:$B$9960,0)))</f>
        <v>Audio Visual</v>
      </c>
    </row>
    <row r="1231" spans="1:11" ht="14.25" customHeight="1" x14ac:dyDescent="0.2">
      <c r="A1231" s="144" t="s">
        <v>578</v>
      </c>
      <c r="C1231" s="143">
        <f>HLOOKUP("start",ESLData!E$1:E$9960,MATCH($A1231,ESLData!$B$1:$B$9960,0))</f>
        <v>0</v>
      </c>
      <c r="E1231" s="143">
        <f>HLOOKUP("start",ESLData!F$1:F$9960,MATCH($A1231,ESLData!$B$1:$B$9960,0))</f>
        <v>0</v>
      </c>
      <c r="G1231" s="143">
        <f>HLOOKUP("start",ESLData!H$1:H$9960,MATCH($A1231,ESLData!$B$1:$B$9960,0))</f>
        <v>0</v>
      </c>
      <c r="K1231" s="142" t="str">
        <f>IF(ISNA(HLOOKUP("start",ESLData!C$1:C$9960,MATCH($A1231,ESLData!$B$1:$B$9960,0))),"",HLOOKUP("start",ESLData!C$1:C$9960,MATCH($A1231,ESLData!$B$1:$B$9960,0)))</f>
        <v>Buildings</v>
      </c>
    </row>
    <row r="1232" spans="1:11" ht="14.25" customHeight="1" x14ac:dyDescent="0.2">
      <c r="A1232" s="144" t="s">
        <v>580</v>
      </c>
      <c r="C1232" s="143">
        <f>HLOOKUP("start",ESLData!E$1:E$9960,MATCH($A1232,ESLData!$B$1:$B$9960,0))</f>
        <v>609.05999999999995</v>
      </c>
      <c r="E1232" s="143">
        <f>HLOOKUP("start",ESLData!F$1:F$9960,MATCH($A1232,ESLData!$B$1:$B$9960,0))</f>
        <v>0</v>
      </c>
      <c r="G1232" s="143">
        <f>HLOOKUP("start",ESLData!H$1:H$9960,MATCH($A1232,ESLData!$B$1:$B$9960,0))</f>
        <v>475</v>
      </c>
      <c r="K1232" s="142" t="str">
        <f>IF(ISNA(HLOOKUP("start",ESLData!C$1:C$9960,MATCH($A1232,ESLData!$B$1:$B$9960,0))),"",HLOOKUP("start",ESLData!C$1:C$9960,MATCH($A1232,ESLData!$B$1:$B$9960,0)))</f>
        <v>Computer Equipment</v>
      </c>
    </row>
    <row r="1233" spans="1:11" ht="14.25" customHeight="1" x14ac:dyDescent="0.2">
      <c r="A1233" s="144" t="s">
        <v>582</v>
      </c>
      <c r="C1233" s="143">
        <f>HLOOKUP("start",ESLData!E$1:E$9960,MATCH($A1233,ESLData!$B$1:$B$9960,0))</f>
        <v>0</v>
      </c>
      <c r="E1233" s="143">
        <f>HLOOKUP("start",ESLData!F$1:F$9960,MATCH($A1233,ESLData!$B$1:$B$9960,0))</f>
        <v>0</v>
      </c>
      <c r="G1233" s="143">
        <f>HLOOKUP("start",ESLData!H$1:H$9960,MATCH($A1233,ESLData!$B$1:$B$9960,0))</f>
        <v>0</v>
      </c>
      <c r="K1233" s="142" t="str">
        <f>IF(ISNA(HLOOKUP("start",ESLData!C$1:C$9960,MATCH($A1233,ESLData!$B$1:$B$9960,0))),"",HLOOKUP("start",ESLData!C$1:C$9960,MATCH($A1233,ESLData!$B$1:$B$9960,0)))</f>
        <v>Furniture &amp; Fittings</v>
      </c>
    </row>
    <row r="1234" spans="1:11" ht="14.25" customHeight="1" x14ac:dyDescent="0.2">
      <c r="A1234" s="144" t="s">
        <v>584</v>
      </c>
      <c r="C1234" s="143">
        <f>HLOOKUP("start",ESLData!E$1:E$9960,MATCH($A1234,ESLData!$B$1:$B$9960,0))</f>
        <v>0</v>
      </c>
      <c r="E1234" s="143">
        <f>HLOOKUP("start",ESLData!F$1:F$9960,MATCH($A1234,ESLData!$B$1:$B$9960,0))</f>
        <v>0</v>
      </c>
      <c r="G1234" s="143">
        <f>HLOOKUP("start",ESLData!H$1:H$9960,MATCH($A1234,ESLData!$B$1:$B$9960,0))</f>
        <v>2658.61</v>
      </c>
      <c r="K1234" s="142" t="str">
        <f>IF(ISNA(HLOOKUP("start",ESLData!C$1:C$9960,MATCH($A1234,ESLData!$B$1:$B$9960,0))),"",HLOOKUP("start",ESLData!C$1:C$9960,MATCH($A1234,ESLData!$B$1:$B$9960,0)))</f>
        <v>Leased Assets</v>
      </c>
    </row>
    <row r="1235" spans="1:11" ht="14.25" customHeight="1" x14ac:dyDescent="0.2">
      <c r="A1235" s="144" t="s">
        <v>585</v>
      </c>
      <c r="C1235" s="143">
        <f>HLOOKUP("start",ESLData!E$1:E$9960,MATCH($A1235,ESLData!$B$1:$B$9960,0))</f>
        <v>0</v>
      </c>
      <c r="E1235" s="143">
        <f>HLOOKUP("start",ESLData!F$1:F$9960,MATCH($A1235,ESLData!$B$1:$B$9960,0))</f>
        <v>0</v>
      </c>
      <c r="G1235" s="143">
        <f>HLOOKUP("start",ESLData!H$1:H$9960,MATCH($A1235,ESLData!$B$1:$B$9960,0))</f>
        <v>0</v>
      </c>
      <c r="K1235" s="142" t="str">
        <f>IF(ISNA(HLOOKUP("start",ESLData!C$1:C$9960,MATCH($A1235,ESLData!$B$1:$B$9960,0))),"",HLOOKUP("start",ESLData!C$1:C$9960,MATCH($A1235,ESLData!$B$1:$B$9960,0)))</f>
        <v>Motor Vehicles</v>
      </c>
    </row>
    <row r="1236" spans="1:11" ht="14.25" customHeight="1" x14ac:dyDescent="0.2">
      <c r="A1236" s="144" t="s">
        <v>586</v>
      </c>
      <c r="C1236" s="143">
        <f>HLOOKUP("start",ESLData!E$1:E$9960,MATCH($A1236,ESLData!$B$1:$B$9960,0))</f>
        <v>0</v>
      </c>
      <c r="E1236" s="143">
        <f>HLOOKUP("start",ESLData!F$1:F$9960,MATCH($A1236,ESLData!$B$1:$B$9960,0))</f>
        <v>0</v>
      </c>
      <c r="G1236" s="143">
        <f>HLOOKUP("start",ESLData!H$1:H$9960,MATCH($A1236,ESLData!$B$1:$B$9960,0))</f>
        <v>0</v>
      </c>
      <c r="K1236" s="142" t="str">
        <f>IF(ISNA(HLOOKUP("start",ESLData!C$1:C$9960,MATCH($A1236,ESLData!$B$1:$B$9960,0))),"",HLOOKUP("start",ESLData!C$1:C$9960,MATCH($A1236,ESLData!$B$1:$B$9960,0)))</f>
        <v>Musical Equipment</v>
      </c>
    </row>
    <row r="1237" spans="1:11" ht="14.25" customHeight="1" x14ac:dyDescent="0.2">
      <c r="A1237" s="144" t="s">
        <v>588</v>
      </c>
      <c r="C1237" s="143">
        <f>HLOOKUP("start",ESLData!E$1:E$9960,MATCH($A1237,ESLData!$B$1:$B$9960,0))</f>
        <v>0</v>
      </c>
      <c r="E1237" s="143">
        <f>HLOOKUP("start",ESLData!F$1:F$9960,MATCH($A1237,ESLData!$B$1:$B$9960,0))</f>
        <v>0</v>
      </c>
      <c r="G1237" s="143">
        <f>HLOOKUP("start",ESLData!H$1:H$9960,MATCH($A1237,ESLData!$B$1:$B$9960,0))</f>
        <v>0</v>
      </c>
      <c r="K1237" s="142" t="str">
        <f>IF(ISNA(HLOOKUP("start",ESLData!C$1:C$9960,MATCH($A1237,ESLData!$B$1:$B$9960,0))),"",HLOOKUP("start",ESLData!C$1:C$9960,MATCH($A1237,ESLData!$B$1:$B$9960,0)))</f>
        <v>Office Equipment</v>
      </c>
    </row>
    <row r="1238" spans="1:11" ht="14.25" customHeight="1" x14ac:dyDescent="0.2">
      <c r="A1238" s="144" t="s">
        <v>590</v>
      </c>
      <c r="C1238" s="143">
        <f>HLOOKUP("start",ESLData!E$1:E$9960,MATCH($A1238,ESLData!$B$1:$B$9960,0))</f>
        <v>0</v>
      </c>
      <c r="E1238" s="143">
        <f>HLOOKUP("start",ESLData!F$1:F$9960,MATCH($A1238,ESLData!$B$1:$B$9960,0))</f>
        <v>0</v>
      </c>
      <c r="G1238" s="143">
        <f>HLOOKUP("start",ESLData!H$1:H$9960,MATCH($A1238,ESLData!$B$1:$B$9960,0))</f>
        <v>0</v>
      </c>
      <c r="K1238" s="142" t="str">
        <f>IF(ISNA(HLOOKUP("start",ESLData!C$1:C$9960,MATCH($A1238,ESLData!$B$1:$B$9960,0))),"",HLOOKUP("start",ESLData!C$1:C$9960,MATCH($A1238,ESLData!$B$1:$B$9960,0)))</f>
        <v>Other Equipment</v>
      </c>
    </row>
    <row r="1239" spans="1:11" ht="14.25" customHeight="1" x14ac:dyDescent="0.2">
      <c r="A1239" s="145" t="s">
        <v>1692</v>
      </c>
      <c r="C1239" s="143">
        <f>HLOOKUP("start",ESLData!E$1:E$9960,MATCH($A1239,ESLData!$B$1:$B$9960,0))</f>
        <v>4868.5200000000004</v>
      </c>
      <c r="E1239" s="143">
        <f>HLOOKUP("start",ESLData!F$1:F$9960,MATCH($A1239,ESLData!$B$1:$B$9960,0))</f>
        <v>0</v>
      </c>
      <c r="G1239" s="143">
        <f>HLOOKUP("start",ESLData!H$1:H$9960,MATCH($A1239,ESLData!$B$1:$B$9960,0))</f>
        <v>0</v>
      </c>
      <c r="K1239" s="142" t="str">
        <f>IF(ISNA(HLOOKUP("start",ESLData!C$1:C$9960,MATCH($A1239,ESLData!$B$1:$B$9960,0))),"",HLOOKUP("start",ESLData!C$1:C$9960,MATCH($A1239,ESLData!$B$1:$B$9960,0)))</f>
        <v>Pur FA AFM</v>
      </c>
    </row>
    <row r="1240" spans="1:11" ht="14.25" customHeight="1" x14ac:dyDescent="0.2">
      <c r="A1240" s="144" t="s">
        <v>592</v>
      </c>
      <c r="C1240" s="143">
        <f>HLOOKUP("start",ESLData!E$1:E$9960,MATCH($A1240,ESLData!$B$1:$B$9960,0))</f>
        <v>172839.98</v>
      </c>
      <c r="E1240" s="143">
        <f>HLOOKUP("start",ESLData!F$1:F$9960,MATCH($A1240,ESLData!$B$1:$B$9960,0))</f>
        <v>308650</v>
      </c>
      <c r="G1240" s="143">
        <f>HLOOKUP("start",ESLData!H$1:H$9960,MATCH($A1240,ESLData!$B$1:$B$9960,0))</f>
        <v>1494146.55</v>
      </c>
      <c r="K1240" s="142" t="str">
        <f>IF(ISNA(HLOOKUP("start",ESLData!C$1:C$9960,MATCH($A1240,ESLData!$B$1:$B$9960,0))),"",HLOOKUP("start",ESLData!C$1:C$9960,MATCH($A1240,ESLData!$B$1:$B$9960,0)))</f>
        <v>Plant &amp; Machinery</v>
      </c>
    </row>
    <row r="1241" spans="1:11" ht="14.25" customHeight="1" x14ac:dyDescent="0.2">
      <c r="A1241" s="145" t="s">
        <v>1569</v>
      </c>
      <c r="C1241" s="143">
        <f>HLOOKUP("start",ESLData!E$1:E$9960,MATCH($A1241,ESLData!$B$1:$B$9960,0))</f>
        <v>1463.95</v>
      </c>
      <c r="E1241" s="143">
        <f>HLOOKUP("start",ESLData!F$1:F$9960,MATCH($A1241,ESLData!$B$1:$B$9960,0))</f>
        <v>0</v>
      </c>
      <c r="G1241" s="143">
        <f>HLOOKUP("start",ESLData!H$1:H$9960,MATCH($A1241,ESLData!$B$1:$B$9960,0))</f>
        <v>0</v>
      </c>
      <c r="K1241" s="142" t="str">
        <f>IF(ISNA(HLOOKUP("start",ESLData!C$1:C$9960,MATCH($A1241,ESLData!$B$1:$B$9960,0))),"",HLOOKUP("start",ESLData!C$1:C$9960,MATCH($A1241,ESLData!$B$1:$B$9960,0)))</f>
        <v>Pur FA National Library</v>
      </c>
    </row>
    <row r="1242" spans="1:11" ht="14.25" customHeight="1" x14ac:dyDescent="0.2">
      <c r="A1242" s="144" t="s">
        <v>594</v>
      </c>
      <c r="C1242" s="143">
        <f>HLOOKUP("start",ESLData!E$1:E$9960,MATCH($A1242,ESLData!$B$1:$B$9960,0))</f>
        <v>0</v>
      </c>
      <c r="E1242" s="143">
        <f>HLOOKUP("start",ESLData!F$1:F$9960,MATCH($A1242,ESLData!$B$1:$B$9960,0))</f>
        <v>0</v>
      </c>
      <c r="G1242" s="143">
        <f>HLOOKUP("start",ESLData!H$1:H$9960,MATCH($A1242,ESLData!$B$1:$B$9960,0))</f>
        <v>13026.57</v>
      </c>
      <c r="K1242" s="142" t="str">
        <f>IF(ISNA(HLOOKUP("start",ESLData!C$1:C$9960,MATCH($A1242,ESLData!$B$1:$B$9960,0))),"",HLOOKUP("start",ESLData!C$1:C$9960,MATCH($A1242,ESLData!$B$1:$B$9960,0)))</f>
        <v>Special Ed. Equip. Grant Asset</v>
      </c>
    </row>
    <row r="1243" spans="1:11" ht="14.25" customHeight="1" x14ac:dyDescent="0.2">
      <c r="A1243" s="144" t="s">
        <v>596</v>
      </c>
      <c r="C1243" s="143">
        <f>HLOOKUP("start",ESLData!E$1:E$9960,MATCH($A1243,ESLData!$B$1:$B$9960,0))</f>
        <v>0</v>
      </c>
      <c r="E1243" s="143">
        <f>HLOOKUP("start",ESLData!F$1:F$9960,MATCH($A1243,ESLData!$B$1:$B$9960,0))</f>
        <v>0</v>
      </c>
      <c r="G1243" s="143">
        <f>HLOOKUP("start",ESLData!H$1:H$9960,MATCH($A1243,ESLData!$B$1:$B$9960,0))</f>
        <v>0</v>
      </c>
      <c r="K1243" s="142" t="str">
        <f>IF(ISNA(HLOOKUP("start",ESLData!C$1:C$9960,MATCH($A1243,ESLData!$B$1:$B$9960,0))),"",HLOOKUP("start",ESLData!C$1:C$9960,MATCH($A1243,ESLData!$B$1:$B$9960,0)))</f>
        <v>Sports Equipment</v>
      </c>
    </row>
    <row r="1244" spans="1:11" ht="14.25" customHeight="1" x14ac:dyDescent="0.2">
      <c r="A1244" s="145" t="s">
        <v>1694</v>
      </c>
      <c r="C1244" s="143">
        <f>HLOOKUP("start",ESLData!E$1:E$9960,MATCH($A1244,ESLData!$B$1:$B$9960,0))</f>
        <v>195.1</v>
      </c>
      <c r="E1244" s="143">
        <f>HLOOKUP("start",ESLData!F$1:F$9960,MATCH($A1244,ESLData!$B$1:$B$9960,0))</f>
        <v>0</v>
      </c>
      <c r="G1244" s="143">
        <f>HLOOKUP("start",ESLData!H$1:H$9960,MATCH($A1244,ESLData!$B$1:$B$9960,0))</f>
        <v>0</v>
      </c>
      <c r="K1244" s="142" t="str">
        <f>IF(ISNA(HLOOKUP("start",ESLData!C$1:C$9960,MATCH($A1244,ESLData!$B$1:$B$9960,0))),"",HLOOKUP("start",ESLData!C$1:C$9960,MATCH($A1244,ESLData!$B$1:$B$9960,0)))</f>
        <v>Library Books</v>
      </c>
    </row>
    <row r="1245" spans="1:11" ht="14.25" customHeight="1" x14ac:dyDescent="0.2">
      <c r="A1245" s="144" t="s">
        <v>905</v>
      </c>
      <c r="C1245" s="143">
        <f>HLOOKUP("start",ESLData!E$1:E$9960,MATCH($A1245,ESLData!$B$1:$B$9960,0))</f>
        <v>0</v>
      </c>
      <c r="E1245" s="143">
        <f>HLOOKUP("start",ESLData!F$1:F$9960,MATCH($A1245,ESLData!$B$1:$B$9960,0))</f>
        <v>0</v>
      </c>
      <c r="G1245" s="143">
        <f>HLOOKUP("start",ESLData!H$1:H$9960,MATCH($A1245,ESLData!$B$1:$B$9960,0))</f>
        <v>0</v>
      </c>
      <c r="K1245" s="142" t="str">
        <f>IF(ISNA(HLOOKUP("start",ESLData!C$1:C$9960,MATCH($A1245,ESLData!$B$1:$B$9960,0))),"",HLOOKUP("start",ESLData!C$1:C$9960,MATCH($A1245,ESLData!$B$1:$B$9960,0)))</f>
        <v>Leased Assets</v>
      </c>
    </row>
    <row r="1246" spans="1:11" ht="14.25" customHeight="1" x14ac:dyDescent="0.2">
      <c r="A1246" s="144" t="s">
        <v>906</v>
      </c>
      <c r="C1246" s="143">
        <f>HLOOKUP("start",ESLData!E$1:E$9960,MATCH($A1246,ESLData!$B$1:$B$9960,0))</f>
        <v>67865.91</v>
      </c>
      <c r="E1246" s="143">
        <f>HLOOKUP("start",ESLData!F$1:F$9960,MATCH($A1246,ESLData!$B$1:$B$9960,0))</f>
        <v>0</v>
      </c>
      <c r="G1246" s="143">
        <f>HLOOKUP("start",ESLData!H$1:H$9960,MATCH($A1246,ESLData!$B$1:$B$9960,0))</f>
        <v>77621.17</v>
      </c>
      <c r="K1246" s="142" t="str">
        <f>IF(ISNA(HLOOKUP("start",ESLData!C$1:C$9960,MATCH($A1246,ESLData!$B$1:$B$9960,0))),"",HLOOKUP("start",ESLData!C$1:C$9960,MATCH($A1246,ESLData!$B$1:$B$9960,0)))</f>
        <v>TRL Lease asset</v>
      </c>
    </row>
    <row r="1247" spans="1:11" ht="14.25" customHeight="1" x14ac:dyDescent="0.2">
      <c r="A1247" s="145" t="s">
        <v>1571</v>
      </c>
      <c r="C1247" s="143"/>
      <c r="E1247" s="143"/>
      <c r="G1247" s="143"/>
    </row>
    <row r="1248" spans="1:11" ht="14.25" customHeight="1" x14ac:dyDescent="0.2">
      <c r="A1248" s="144" t="s">
        <v>598</v>
      </c>
      <c r="C1248" s="143">
        <f>HLOOKUP("start",ESLData!E$1:E$9960,MATCH($A1248,ESLData!$B$1:$B$9960,0))</f>
        <v>0</v>
      </c>
      <c r="E1248" s="143">
        <f>HLOOKUP("start",ESLData!F$1:F$9960,MATCH($A1248,ESLData!$B$1:$B$9960,0))</f>
        <v>0</v>
      </c>
      <c r="F1248" s="148">
        <f>ROUND(SUM(E1199:E1248),0)</f>
        <v>754588</v>
      </c>
      <c r="G1248" s="143">
        <f>HLOOKUP("start",ESLData!H$1:H$9960,MATCH($A1248,ESLData!$B$1:$B$9960,0))</f>
        <v>0</v>
      </c>
      <c r="K1248" s="142" t="str">
        <f>IF(ISNA(HLOOKUP("start",ESLData!C$1:C$9960,MATCH($A1248,ESLData!$B$1:$B$9960,0))),"",HLOOKUP("start",ESLData!C$1:C$9960,MATCH($A1248,ESLData!$B$1:$B$9960,0)))</f>
        <v>Pur FA - Donations</v>
      </c>
    </row>
    <row r="1249" spans="1:11" ht="14.25" customHeight="1" x14ac:dyDescent="0.2">
      <c r="A1249" s="144" t="s">
        <v>599</v>
      </c>
      <c r="C1249" s="143">
        <f>HLOOKUP("start",ESLData!E$1:E$9960,MATCH($A1249,ESLData!$B$1:$B$9960,0))</f>
        <v>-713410.02</v>
      </c>
      <c r="D1249" s="148">
        <f>ROUND(SUM(C1198:C1249),0)</f>
        <v>9040106</v>
      </c>
      <c r="E1249" s="143">
        <f>HLOOKUP("start",ESLData!F$1:F$9960,MATCH($A1249,ESLData!$B$1:$B$9960,0))</f>
        <v>-809000</v>
      </c>
      <c r="F1249" s="148">
        <f>ROUND(SUM(E1198:E1249),0)</f>
        <v>8954876</v>
      </c>
      <c r="G1249" s="143">
        <f>HLOOKUP("start",ESLData!H$1:H$9960,MATCH($A1249,ESLData!$B$1:$B$9960,0))</f>
        <v>-629498.22</v>
      </c>
      <c r="H1249" s="148">
        <f>ROUND(SUM(G1198:G1249),0)</f>
        <v>9060104</v>
      </c>
      <c r="K1249" s="142" t="str">
        <f>IF(ISNA(HLOOKUP("start",ESLData!C$1:C$9960,MATCH($A1249,ESLData!$B$1:$B$9960,0))),"",HLOOKUP("start",ESLData!C$1:C$9960,MATCH($A1249,ESLData!$B$1:$B$9960,0)))</f>
        <v>Depreciation</v>
      </c>
    </row>
    <row r="1250" spans="1:11" ht="14.25" customHeight="1" x14ac:dyDescent="0.2">
      <c r="C1250" s="143"/>
      <c r="D1250" s="148"/>
      <c r="E1250" s="143"/>
      <c r="F1250" s="148"/>
      <c r="G1250" s="143"/>
      <c r="H1250" s="148"/>
    </row>
    <row r="1251" spans="1:11" ht="14.25" customHeight="1" x14ac:dyDescent="0.2">
      <c r="C1251" s="143"/>
      <c r="D1251" s="148"/>
      <c r="E1251" s="143"/>
      <c r="F1251" s="148"/>
      <c r="G1251" s="143"/>
      <c r="H1251" s="148"/>
    </row>
    <row r="1252" spans="1:11" ht="14.25" customHeight="1" x14ac:dyDescent="0.2">
      <c r="A1252" s="147" t="s">
        <v>788</v>
      </c>
      <c r="C1252" s="143"/>
      <c r="E1252" s="143"/>
      <c r="G1252" s="143"/>
      <c r="K1252" s="142" t="str">
        <f>IF(ISNA(HLOOKUP("start",ESLData!C$1:C$9960,MATCH($A1252,ESLData!$B$1:$B$9960,0))),"",HLOOKUP("start",ESLData!C$1:C$9960,MATCH($A1252,ESLData!$B$1:$B$9960,0)))</f>
        <v/>
      </c>
    </row>
    <row r="1253" spans="1:11" ht="14.25" customHeight="1" x14ac:dyDescent="0.2">
      <c r="A1253" s="144">
        <v>9700</v>
      </c>
      <c r="C1253" s="143">
        <f>HLOOKUP("start",ESLData!E$1:E$9960,MATCH($A1253,ESLData!$B$1:$B$9960,0))*-1</f>
        <v>0</v>
      </c>
      <c r="E1253" s="143">
        <f>HLOOKUP("start",ESLData!F$1:F$9960,MATCH($A1253,ESLData!$B$1:$B$9960,0))*-1</f>
        <v>0</v>
      </c>
      <c r="G1253" s="143">
        <f>HLOOKUP("start",ESLData!H$1:H$9960,MATCH($A1253,ESLData!$B$1:$B$9960,0))*-1</f>
        <v>0</v>
      </c>
      <c r="K1253" s="142" t="str">
        <f>IF(ISNA(HLOOKUP("start",ESLData!C$1:C$9960,MATCH($A1253,ESLData!$B$1:$B$9960,0))),"",HLOOKUP("start",ESLData!C$1:C$9960,MATCH($A1253,ESLData!$B$1:$B$9960,0)))</f>
        <v>* Homai Special Funds</v>
      </c>
    </row>
    <row r="1254" spans="1:11" ht="14.25" customHeight="1" x14ac:dyDescent="0.2">
      <c r="A1254" s="144">
        <v>9701</v>
      </c>
      <c r="C1254" s="143">
        <f>HLOOKUP("start",ESLData!E$1:E$9960,MATCH($A1254,ESLData!$B$1:$B$9960,0))*-1</f>
        <v>1034</v>
      </c>
      <c r="E1254" s="143">
        <f>HLOOKUP("start",ESLData!F$1:F$9960,MATCH($A1254,ESLData!$B$1:$B$9960,0))*-1</f>
        <v>0</v>
      </c>
      <c r="G1254" s="143">
        <f>HLOOKUP("start",ESLData!H$1:H$9960,MATCH($A1254,ESLData!$B$1:$B$9960,0))*-1</f>
        <v>1034</v>
      </c>
      <c r="K1254" s="142" t="str">
        <f>IF(ISNA(HLOOKUP("start",ESLData!C$1:C$9960,MATCH($A1254,ESLData!$B$1:$B$9960,0))),"",HLOOKUP("start",ESLData!C$1:C$9960,MATCH($A1254,ESLData!$B$1:$B$9960,0)))</f>
        <v>HSF: AVRC</v>
      </c>
    </row>
    <row r="1255" spans="1:11" ht="14.25" customHeight="1" x14ac:dyDescent="0.2">
      <c r="A1255" s="144">
        <v>9702</v>
      </c>
      <c r="C1255" s="143">
        <f>HLOOKUP("start",ESLData!E$1:E$9960,MATCH($A1255,ESLData!$B$1:$B$9960,0))*-1</f>
        <v>6586.95</v>
      </c>
      <c r="E1255" s="143">
        <f>HLOOKUP("start",ESLData!F$1:F$9960,MATCH($A1255,ESLData!$B$1:$B$9960,0))*-1</f>
        <v>0</v>
      </c>
      <c r="G1255" s="143">
        <f>HLOOKUP("start",ESLData!H$1:H$9960,MATCH($A1255,ESLData!$B$1:$B$9960,0))*-1</f>
        <v>6586.95</v>
      </c>
      <c r="K1255" s="142" t="str">
        <f>IF(ISNA(HLOOKUP("start",ESLData!C$1:C$9960,MATCH($A1255,ESLData!$B$1:$B$9960,0))),"",HLOOKUP("start",ESLData!C$1:C$9960,MATCH($A1255,ESLData!$B$1:$B$9960,0)))</f>
        <v>HSF: Blundell Award</v>
      </c>
    </row>
    <row r="1256" spans="1:11" ht="14.25" customHeight="1" x14ac:dyDescent="0.2">
      <c r="A1256" s="144">
        <v>9703</v>
      </c>
      <c r="C1256" s="143">
        <f>HLOOKUP("start",ESLData!E$1:E$9960,MATCH($A1256,ESLData!$B$1:$B$9960,0))*-1</f>
        <v>3213</v>
      </c>
      <c r="E1256" s="143">
        <f>HLOOKUP("start",ESLData!F$1:F$9960,MATCH($A1256,ESLData!$B$1:$B$9960,0))*-1</f>
        <v>0</v>
      </c>
      <c r="G1256" s="143">
        <f>HLOOKUP("start",ESLData!H$1:H$9960,MATCH($A1256,ESLData!$B$1:$B$9960,0))*-1</f>
        <v>3213</v>
      </c>
      <c r="K1256" s="142" t="str">
        <f>IF(ISNA(HLOOKUP("start",ESLData!C$1:C$9960,MATCH($A1256,ESLData!$B$1:$B$9960,0))),"",HLOOKUP("start",ESLData!C$1:C$9960,MATCH($A1256,ESLData!$B$1:$B$9960,0)))</f>
        <v>HSF: Chapel</v>
      </c>
    </row>
    <row r="1257" spans="1:11" ht="14.25" customHeight="1" x14ac:dyDescent="0.2">
      <c r="A1257" s="144">
        <v>9704</v>
      </c>
      <c r="C1257" s="143">
        <f>HLOOKUP("start",ESLData!E$1:E$9960,MATCH($A1257,ESLData!$B$1:$B$9960,0))*-1</f>
        <v>48326.18</v>
      </c>
      <c r="E1257" s="143">
        <f>HLOOKUP("start",ESLData!F$1:F$9960,MATCH($A1257,ESLData!$B$1:$B$9960,0))*-1</f>
        <v>0</v>
      </c>
      <c r="G1257" s="143">
        <f>HLOOKUP("start",ESLData!H$1:H$9960,MATCH($A1257,ESLData!$B$1:$B$9960,0))*-1</f>
        <v>48326.18</v>
      </c>
      <c r="K1257" s="142" t="str">
        <f>IF(ISNA(HLOOKUP("start",ESLData!C$1:C$9960,MATCH($A1257,ESLData!$B$1:$B$9960,0))),"",HLOOKUP("start",ESLData!C$1:C$9960,MATCH($A1257,ESLData!$B$1:$B$9960,0)))</f>
        <v>HSF: Doherty Fund</v>
      </c>
    </row>
    <row r="1258" spans="1:11" ht="14.25" customHeight="1" x14ac:dyDescent="0.2">
      <c r="A1258" s="144">
        <v>9705</v>
      </c>
      <c r="C1258" s="143">
        <f>HLOOKUP("start",ESLData!E$1:E$9960,MATCH($A1258,ESLData!$B$1:$B$9960,0))*-1</f>
        <v>89316</v>
      </c>
      <c r="E1258" s="143">
        <f>HLOOKUP("start",ESLData!F$1:F$9960,MATCH($A1258,ESLData!$B$1:$B$9960,0))*-1</f>
        <v>0</v>
      </c>
      <c r="G1258" s="143">
        <f>HLOOKUP("start",ESLData!H$1:H$9960,MATCH($A1258,ESLData!$B$1:$B$9960,0))*-1</f>
        <v>89316</v>
      </c>
      <c r="K1258" s="142" t="str">
        <f>IF(ISNA(HLOOKUP("start",ESLData!C$1:C$9960,MATCH($A1258,ESLData!$B$1:$B$9960,0))),"",HLOOKUP("start",ESLData!C$1:C$9960,MATCH($A1258,ESLData!$B$1:$B$9960,0)))</f>
        <v>HSF: General</v>
      </c>
    </row>
    <row r="1259" spans="1:11" ht="14.25" customHeight="1" x14ac:dyDescent="0.2">
      <c r="A1259" s="144">
        <v>9706</v>
      </c>
      <c r="C1259" s="143">
        <f>HLOOKUP("start",ESLData!E$1:E$9960,MATCH($A1259,ESLData!$B$1:$B$9960,0))*-1</f>
        <v>29477.48</v>
      </c>
      <c r="E1259" s="143">
        <f>HLOOKUP("start",ESLData!F$1:F$9960,MATCH($A1259,ESLData!$B$1:$B$9960,0))*-1</f>
        <v>0</v>
      </c>
      <c r="G1259" s="143">
        <f>HLOOKUP("start",ESLData!H$1:H$9960,MATCH($A1259,ESLData!$B$1:$B$9960,0))*-1</f>
        <v>29477.48</v>
      </c>
      <c r="K1259" s="142" t="str">
        <f>IF(ISNA(HLOOKUP("start",ESLData!C$1:C$9960,MATCH($A1259,ESLData!$B$1:$B$9960,0))),"",HLOOKUP("start",ESLData!C$1:C$9960,MATCH($A1259,ESLData!$B$1:$B$9960,0)))</f>
        <v>HSF: Gurr Trust</v>
      </c>
    </row>
    <row r="1260" spans="1:11" ht="14.25" customHeight="1" x14ac:dyDescent="0.2">
      <c r="A1260" s="144">
        <v>9707</v>
      </c>
      <c r="C1260" s="143">
        <f>HLOOKUP("start",ESLData!E$1:E$9960,MATCH($A1260,ESLData!$B$1:$B$9960,0))*-1</f>
        <v>548</v>
      </c>
      <c r="E1260" s="143">
        <f>HLOOKUP("start",ESLData!F$1:F$9960,MATCH($A1260,ESLData!$B$1:$B$9960,0))*-1</f>
        <v>0</v>
      </c>
      <c r="G1260" s="143">
        <f>HLOOKUP("start",ESLData!H$1:H$9960,MATCH($A1260,ESLData!$B$1:$B$9960,0))*-1</f>
        <v>548</v>
      </c>
      <c r="K1260" s="142" t="str">
        <f>IF(ISNA(HLOOKUP("start",ESLData!C$1:C$9960,MATCH($A1260,ESLData!$B$1:$B$9960,0))),"",HLOOKUP("start",ESLData!C$1:C$9960,MATCH($A1260,ESLData!$B$1:$B$9960,0)))</f>
        <v>HSF: Kickstart</v>
      </c>
    </row>
    <row r="1261" spans="1:11" ht="14.25" customHeight="1" x14ac:dyDescent="0.2">
      <c r="A1261" s="144">
        <v>9708</v>
      </c>
      <c r="C1261" s="143">
        <f>HLOOKUP("start",ESLData!E$1:E$9960,MATCH($A1261,ESLData!$B$1:$B$9960,0))*-1</f>
        <v>4513</v>
      </c>
      <c r="E1261" s="143">
        <f>HLOOKUP("start",ESLData!F$1:F$9960,MATCH($A1261,ESLData!$B$1:$B$9960,0))*-1</f>
        <v>0</v>
      </c>
      <c r="G1261" s="143">
        <f>HLOOKUP("start",ESLData!H$1:H$9960,MATCH($A1261,ESLData!$B$1:$B$9960,0))*-1</f>
        <v>4513</v>
      </c>
      <c r="K1261" s="142" t="str">
        <f>IF(ISNA(HLOOKUP("start",ESLData!C$1:C$9960,MATCH($A1261,ESLData!$B$1:$B$9960,0))),"",HLOOKUP("start",ESLData!C$1:C$9960,MATCH($A1261,ESLData!$B$1:$B$9960,0)))</f>
        <v>HSF: Koru/Mccahon</v>
      </c>
    </row>
    <row r="1262" spans="1:11" ht="14.25" customHeight="1" x14ac:dyDescent="0.2">
      <c r="A1262" s="144">
        <v>9709</v>
      </c>
      <c r="C1262" s="143">
        <f>HLOOKUP("start",ESLData!E$1:E$9960,MATCH($A1262,ESLData!$B$1:$B$9960,0))*-1</f>
        <v>0</v>
      </c>
      <c r="E1262" s="143">
        <f>HLOOKUP("start",ESLData!F$1:F$9960,MATCH($A1262,ESLData!$B$1:$B$9960,0))*-1</f>
        <v>0</v>
      </c>
      <c r="G1262" s="143">
        <f>HLOOKUP("start",ESLData!H$1:H$9960,MATCH($A1262,ESLData!$B$1:$B$9960,0))*-1</f>
        <v>0</v>
      </c>
      <c r="K1262" s="142" t="str">
        <f>IF(ISNA(HLOOKUP("start",ESLData!C$1:C$9960,MATCH($A1262,ESLData!$B$1:$B$9960,0))),"",HLOOKUP("start",ESLData!C$1:C$9960,MATCH($A1262,ESLData!$B$1:$B$9960,0)))</f>
        <v>HSF: Music</v>
      </c>
    </row>
    <row r="1263" spans="1:11" ht="14.25" customHeight="1" x14ac:dyDescent="0.2">
      <c r="A1263" s="144">
        <v>9710</v>
      </c>
      <c r="C1263" s="143">
        <f>HLOOKUP("start",ESLData!E$1:E$9960,MATCH($A1263,ESLData!$B$1:$B$9960,0))*-1</f>
        <v>2951</v>
      </c>
      <c r="E1263" s="143">
        <f>HLOOKUP("start",ESLData!F$1:F$9960,MATCH($A1263,ESLData!$B$1:$B$9960,0))*-1</f>
        <v>0</v>
      </c>
      <c r="G1263" s="143">
        <f>HLOOKUP("start",ESLData!H$1:H$9960,MATCH($A1263,ESLData!$B$1:$B$9960,0))*-1</f>
        <v>2951</v>
      </c>
      <c r="K1263" s="142" t="str">
        <f>IF(ISNA(HLOOKUP("start",ESLData!C$1:C$9960,MATCH($A1263,ESLData!$B$1:$B$9960,0))),"",HLOOKUP("start",ESLData!C$1:C$9960,MATCH($A1263,ESLData!$B$1:$B$9960,0)))</f>
        <v>HSF: Research</v>
      </c>
    </row>
    <row r="1264" spans="1:11" ht="14.25" customHeight="1" x14ac:dyDescent="0.2">
      <c r="A1264" s="144">
        <v>9711</v>
      </c>
      <c r="C1264" s="143">
        <f>HLOOKUP("start",ESLData!E$1:E$9960,MATCH($A1264,ESLData!$B$1:$B$9960,0))*-1</f>
        <v>11422</v>
      </c>
      <c r="E1264" s="143">
        <f>HLOOKUP("start",ESLData!F$1:F$9960,MATCH($A1264,ESLData!$B$1:$B$9960,0))*-1</f>
        <v>0</v>
      </c>
      <c r="G1264" s="143">
        <f>HLOOKUP("start",ESLData!H$1:H$9960,MATCH($A1264,ESLData!$B$1:$B$9960,0))*-1</f>
        <v>11422</v>
      </c>
      <c r="K1264" s="142" t="str">
        <f>IF(ISNA(HLOOKUP("start",ESLData!C$1:C$9960,MATCH($A1264,ESLData!$B$1:$B$9960,0))),"",HLOOKUP("start",ESLData!C$1:C$9960,MATCH($A1264,ESLData!$B$1:$B$9960,0)))</f>
        <v>HSF: Resource Rooms</v>
      </c>
    </row>
    <row r="1265" spans="1:11" ht="14.25" customHeight="1" x14ac:dyDescent="0.2">
      <c r="A1265" s="144">
        <v>9712</v>
      </c>
      <c r="C1265" s="143">
        <f>HLOOKUP("start",ESLData!E$1:E$9960,MATCH($A1265,ESLData!$B$1:$B$9960,0))*-1</f>
        <v>6661</v>
      </c>
      <c r="E1265" s="143">
        <f>HLOOKUP("start",ESLData!F$1:F$9960,MATCH($A1265,ESLData!$B$1:$B$9960,0))*-1</f>
        <v>0</v>
      </c>
      <c r="G1265" s="143">
        <f>HLOOKUP("start",ESLData!H$1:H$9960,MATCH($A1265,ESLData!$B$1:$B$9960,0))*-1</f>
        <v>6661</v>
      </c>
      <c r="K1265" s="142" t="str">
        <f>IF(ISNA(HLOOKUP("start",ESLData!C$1:C$9960,MATCH($A1265,ESLData!$B$1:$B$9960,0))),"",HLOOKUP("start",ESLData!C$1:C$9960,MATCH($A1265,ESLData!$B$1:$B$9960,0)))</f>
        <v>HSF: SPort &amp; Recreation</v>
      </c>
    </row>
    <row r="1266" spans="1:11" ht="14.25" customHeight="1" x14ac:dyDescent="0.2">
      <c r="A1266" s="144">
        <v>9713</v>
      </c>
      <c r="C1266" s="143">
        <f>HLOOKUP("start",ESLData!E$1:E$9960,MATCH($A1266,ESLData!$B$1:$B$9960,0))*-1</f>
        <v>403358.07</v>
      </c>
      <c r="D1266" s="148">
        <f>ROUND(SUM(C1253:C1266),0)</f>
        <v>607407</v>
      </c>
      <c r="E1266" s="143">
        <f>HLOOKUP("start",ESLData!F$1:F$9960,MATCH($A1266,ESLData!$B$1:$B$9960,0))*-1</f>
        <v>0</v>
      </c>
      <c r="F1266" s="148">
        <f>ROUND(SUM(E1253:E1266),0)</f>
        <v>0</v>
      </c>
      <c r="G1266" s="143">
        <f>HLOOKUP("start",ESLData!H$1:H$9960,MATCH($A1266,ESLData!$B$1:$B$9960,0))*-1</f>
        <v>409658.27</v>
      </c>
      <c r="H1266" s="148">
        <f>ROUND(SUM(G1253:G1266),0)</f>
        <v>613707</v>
      </c>
      <c r="K1266" s="142" t="str">
        <f>IF(ISNA(HLOOKUP("start",ESLData!C$1:C$9960,MATCH($A1266,ESLData!$B$1:$B$9960,0))),"",HLOOKUP("start",ESLData!C$1:C$9960,MATCH($A1266,ESLData!$B$1:$B$9960,0)))</f>
        <v>HSF: HECCET Transfer</v>
      </c>
    </row>
    <row r="1267" spans="1:11" ht="14.25" customHeight="1" x14ac:dyDescent="0.2">
      <c r="C1267" s="143"/>
      <c r="D1267" s="148"/>
      <c r="E1267" s="143"/>
      <c r="G1267" s="143"/>
      <c r="H1267" s="148"/>
    </row>
    <row r="1268" spans="1:11" ht="14.25" customHeight="1" x14ac:dyDescent="0.2">
      <c r="C1268" s="143"/>
      <c r="D1268" s="148"/>
      <c r="E1268" s="143"/>
      <c r="G1268" s="143"/>
      <c r="H1268" s="148"/>
    </row>
    <row r="1269" spans="1:11" ht="14.25" customHeight="1" x14ac:dyDescent="0.2">
      <c r="A1269" s="147" t="s">
        <v>1029</v>
      </c>
    </row>
    <row r="1270" spans="1:11" ht="14.25" customHeight="1" x14ac:dyDescent="0.2">
      <c r="A1270" s="77">
        <v>9331</v>
      </c>
      <c r="C1270" s="143">
        <f>HLOOKUP("start",ESLData!E$1:E$9960,MATCH($A1270,ESLData!$B$1:$B$9960,0))*-1</f>
        <v>0</v>
      </c>
      <c r="D1270" s="148"/>
      <c r="E1270" s="143">
        <f>HLOOKUP("start",ESLData!F$1:F$9960,MATCH($A1270,ESLData!$B$1:$B$9960,0))*-1</f>
        <v>0</v>
      </c>
      <c r="G1270" s="143">
        <f>HLOOKUP("start",ESLData!H$1:H$9960,MATCH($A1270,ESLData!$B$1:$B$9960,0))*-1</f>
        <v>0</v>
      </c>
      <c r="H1270" s="148"/>
      <c r="K1270" s="142" t="str">
        <f>IF(ISNA(HLOOKUP("start",ESLData!C$1:C$9960,MATCH($A1270,ESLData!$B$1:$B$9960,0))),"",HLOOKUP("start",ESLData!C$1:C$9960,MATCH($A1270,ESLData!$B$1:$B$9960,0)))</f>
        <v>Photocopier lease CSG</v>
      </c>
    </row>
    <row r="1271" spans="1:11" ht="14.25" customHeight="1" x14ac:dyDescent="0.2">
      <c r="A1271" s="77">
        <v>9332</v>
      </c>
      <c r="C1271" s="143">
        <f>HLOOKUP("start",ESLData!E$1:E$9960,MATCH($A1271,ESLData!$B$1:$B$9960,0))*-1</f>
        <v>0</v>
      </c>
      <c r="D1271" s="148"/>
      <c r="E1271" s="143">
        <f>HLOOKUP("start",ESLData!F$1:F$9960,MATCH($A1271,ESLData!$B$1:$B$9960,0))*-1</f>
        <v>0</v>
      </c>
      <c r="G1271" s="143">
        <f>HLOOKUP("start",ESLData!H$1:H$9960,MATCH($A1271,ESLData!$B$1:$B$9960,0))*-1</f>
        <v>0</v>
      </c>
      <c r="H1271" s="148"/>
      <c r="K1271" s="142" t="str">
        <f>IF(ISNA(HLOOKUP("start",ESLData!C$1:C$9960,MATCH($A1271,ESLData!$B$1:$B$9960,0))),"",HLOOKUP("start",ESLData!C$1:C$9960,MATCH($A1271,ESLData!$B$1:$B$9960,0)))</f>
        <v>Vistab Lease</v>
      </c>
    </row>
    <row r="1272" spans="1:11" ht="14.25" customHeight="1" x14ac:dyDescent="0.2">
      <c r="A1272" s="77">
        <v>9333</v>
      </c>
      <c r="C1272" s="143">
        <f>HLOOKUP("start",ESLData!E$1:E$9960,MATCH($A1272,ESLData!$B$1:$B$9960,0))*-1</f>
        <v>19042.32</v>
      </c>
      <c r="D1272" s="148"/>
      <c r="E1272" s="143">
        <f>HLOOKUP("start",ESLData!F$1:F$9960,MATCH($A1272,ESLData!$B$1:$B$9960,0))*-1</f>
        <v>0</v>
      </c>
      <c r="G1272" s="143">
        <f>HLOOKUP("start",ESLData!H$1:H$9960,MATCH($A1272,ESLData!$B$1:$B$9960,0))*-1</f>
        <v>19042.32</v>
      </c>
      <c r="H1272" s="148"/>
      <c r="K1272" s="142" t="str">
        <f>IF(ISNA(HLOOKUP("start",ESLData!C$1:C$9960,MATCH($A1272,ESLData!$B$1:$B$9960,0))),"",HLOOKUP("start",ESLData!C$1:C$9960,MATCH($A1272,ESLData!$B$1:$B$9960,0)))</f>
        <v>Fuji Xerox Photocopier</v>
      </c>
    </row>
    <row r="1273" spans="1:11" ht="14.25" customHeight="1" x14ac:dyDescent="0.2">
      <c r="A1273" s="77">
        <v>9345</v>
      </c>
      <c r="C1273" s="143">
        <f>HLOOKUP("start",ESLData!E$1:E$9960,MATCH($A1273,ESLData!$B$1:$B$9960,0))*-1</f>
        <v>68300.740000000005</v>
      </c>
      <c r="D1273" s="163">
        <f>ROUND(SUM(C1270:C1273),0)</f>
        <v>87343</v>
      </c>
      <c r="E1273" s="143">
        <f>HLOOKUP("start",ESLData!F$1:F$9960,MATCH($A1273,ESLData!$B$1:$B$9960,0))*-1</f>
        <v>77572</v>
      </c>
      <c r="F1273" s="148">
        <f>ROUND(SUM(E1270:E1273),0)</f>
        <v>77572</v>
      </c>
      <c r="G1273" s="143">
        <f>HLOOKUP("start",ESLData!H$1:H$9960,MATCH($A1273,ESLData!$B$1:$B$9960,0))*-1</f>
        <v>70151.77</v>
      </c>
      <c r="H1273" s="148">
        <f>ROUND(SUM(G1270:G1273),0)</f>
        <v>89194</v>
      </c>
      <c r="K1273" s="142" t="str">
        <f>IF(ISNA(HLOOKUP("start",ESLData!C$1:C$9960,MATCH($A1273,ESLData!$B$1:$B$9960,0))),"",HLOOKUP("start",ESLData!C$1:C$9960,MATCH($A1273,ESLData!$B$1:$B$9960,0)))</f>
        <v>TRL Finance Lease Current</v>
      </c>
    </row>
    <row r="1274" spans="1:11" ht="14.25" customHeight="1" x14ac:dyDescent="0.2">
      <c r="A1274" s="77"/>
      <c r="C1274" s="143"/>
      <c r="D1274" s="148"/>
      <c r="E1274" s="143"/>
      <c r="F1274" s="148"/>
      <c r="G1274" s="143"/>
      <c r="H1274" s="148"/>
    </row>
    <row r="1275" spans="1:11" ht="14.25" customHeight="1" x14ac:dyDescent="0.2">
      <c r="A1275" s="77"/>
      <c r="C1275" s="143"/>
      <c r="D1275" s="148"/>
      <c r="E1275" s="143"/>
      <c r="F1275" s="148"/>
      <c r="G1275" s="143"/>
      <c r="H1275" s="148"/>
    </row>
    <row r="1276" spans="1:11" ht="14.25" customHeight="1" x14ac:dyDescent="0.2">
      <c r="A1276" s="147" t="s">
        <v>1030</v>
      </c>
    </row>
    <row r="1277" spans="1:11" ht="14.25" customHeight="1" x14ac:dyDescent="0.2">
      <c r="A1277" s="144">
        <v>9118</v>
      </c>
      <c r="C1277" s="143">
        <f>HLOOKUP("start",ESLData!E$1:E$9960,MATCH($A1277,ESLData!$B$1:$B$9960,0))</f>
        <v>9972.7199999999993</v>
      </c>
      <c r="D1277" s="163">
        <f>ROUND(SUM(C1277),0)</f>
        <v>9973</v>
      </c>
      <c r="E1277" s="143">
        <f>HLOOKUP("start",ESLData!F$1:F$9960,MATCH($A1277,ESLData!$B$1:$B$9960,0))*-1</f>
        <v>0</v>
      </c>
      <c r="F1277" s="148">
        <f>ROUND(SUM(E1277),0)</f>
        <v>0</v>
      </c>
      <c r="G1277" s="143">
        <f>HLOOKUP("start",ESLData!H$1:H$9960,MATCH($A1277,ESLData!$B$1:$B$9960,0))</f>
        <v>11621.93</v>
      </c>
      <c r="H1277" s="148">
        <f>ROUND(SUM(G1277),0)</f>
        <v>11622</v>
      </c>
      <c r="K1277" s="142" t="str">
        <f>IF(ISNA(HLOOKUP("start",ESLData!C$1:C$9960,MATCH($A1277,ESLData!$B$1:$B$9960,0))),"",HLOOKUP("start",ESLData!C$1:C$9960,MATCH($A1277,ESLData!$B$1:$B$9960,0)))</f>
        <v>Prepaid Interest</v>
      </c>
    </row>
    <row r="1278" spans="1:11" ht="14.25" customHeight="1" x14ac:dyDescent="0.2">
      <c r="C1278" s="143"/>
      <c r="D1278" s="148"/>
      <c r="E1278" s="143"/>
      <c r="F1278" s="148"/>
      <c r="G1278" s="143"/>
      <c r="H1278" s="148"/>
    </row>
    <row r="1279" spans="1:11" ht="14.25" customHeight="1" x14ac:dyDescent="0.2">
      <c r="C1279" s="143"/>
      <c r="D1279" s="148"/>
      <c r="E1279" s="143"/>
      <c r="F1279" s="148"/>
      <c r="G1279" s="143"/>
      <c r="H1279" s="148"/>
    </row>
    <row r="1280" spans="1:11" ht="14.25" customHeight="1" x14ac:dyDescent="0.2">
      <c r="A1280" s="147" t="s">
        <v>1031</v>
      </c>
    </row>
    <row r="1281" spans="1:11" ht="14.25" customHeight="1" x14ac:dyDescent="0.2">
      <c r="A1281" s="77">
        <v>9431</v>
      </c>
      <c r="C1281" s="143">
        <f>HLOOKUP("start",ESLData!E$1:E$9960,MATCH($A1281,ESLData!$B$1:$B$9960,0))*-1</f>
        <v>0</v>
      </c>
      <c r="D1281" s="148"/>
      <c r="E1281" s="143">
        <f>HLOOKUP("start",ESLData!F$1:F$9960,MATCH($A1281,ESLData!$B$1:$B$9960,0))*-1</f>
        <v>0</v>
      </c>
      <c r="F1281" s="148"/>
      <c r="G1281" s="143">
        <f>HLOOKUP("start",ESLData!H$1:H$9960,MATCH($A1281,ESLData!$B$1:$B$9960,0))*-1</f>
        <v>0</v>
      </c>
      <c r="H1281" s="148"/>
      <c r="K1281" s="142" t="str">
        <f>IF(ISNA(HLOOKUP("start",ESLData!C$1:C$9960,MATCH($A1281,ESLData!$B$1:$B$9960,0))),"",HLOOKUP("start",ESLData!C$1:C$9960,MATCH($A1281,ESLData!$B$1:$B$9960,0)))</f>
        <v>Photocopier Lease CSG</v>
      </c>
    </row>
    <row r="1282" spans="1:11" ht="14.25" customHeight="1" x14ac:dyDescent="0.2">
      <c r="A1282" s="77">
        <v>9432</v>
      </c>
      <c r="C1282" s="143">
        <f>HLOOKUP("start",ESLData!E$1:E$9960,MATCH($A1282,ESLData!$B$1:$B$9960,0))*-1</f>
        <v>0.02</v>
      </c>
      <c r="D1282" s="148"/>
      <c r="E1282" s="143">
        <f>HLOOKUP("start",ESLData!F$1:F$9960,MATCH($A1282,ESLData!$B$1:$B$9960,0))*-1</f>
        <v>0</v>
      </c>
      <c r="F1282" s="148"/>
      <c r="G1282" s="143">
        <f>HLOOKUP("start",ESLData!H$1:H$9960,MATCH($A1282,ESLData!$B$1:$B$9960,0))*-1</f>
        <v>0</v>
      </c>
      <c r="H1282" s="148"/>
      <c r="K1282" s="142" t="str">
        <f>IF(ISNA(HLOOKUP("start",ESLData!C$1:C$9960,MATCH($A1282,ESLData!$B$1:$B$9960,0))),"",HLOOKUP("start",ESLData!C$1:C$9960,MATCH($A1282,ESLData!$B$1:$B$9960,0)))</f>
        <v>Vistab Lease</v>
      </c>
    </row>
    <row r="1283" spans="1:11" ht="14.25" customHeight="1" x14ac:dyDescent="0.2">
      <c r="A1283" s="77">
        <v>9433</v>
      </c>
      <c r="C1283" s="143">
        <f>HLOOKUP("start",ESLData!E$1:E$9960,MATCH($A1283,ESLData!$B$1:$B$9960,0))*-1</f>
        <v>20629.18</v>
      </c>
      <c r="D1283" s="148"/>
      <c r="E1283" s="143">
        <f>HLOOKUP("start",ESLData!F$1:F$9960,MATCH($A1283,ESLData!$B$1:$B$9960,0))*-1</f>
        <v>0</v>
      </c>
      <c r="F1283" s="148"/>
      <c r="G1283" s="143">
        <f>HLOOKUP("start",ESLData!H$1:H$9960,MATCH($A1283,ESLData!$B$1:$B$9960,0))*-1</f>
        <v>39671.5</v>
      </c>
      <c r="H1283" s="148"/>
      <c r="K1283" s="142" t="str">
        <f>IF(ISNA(HLOOKUP("start",ESLData!C$1:C$9960,MATCH($A1283,ESLData!$B$1:$B$9960,0))),"",HLOOKUP("start",ESLData!C$1:C$9960,MATCH($A1283,ESLData!$B$1:$B$9960,0)))</f>
        <v>Fuji Xerox Photocopier</v>
      </c>
    </row>
    <row r="1284" spans="1:11" ht="14.25" customHeight="1" x14ac:dyDescent="0.2">
      <c r="A1284" s="77">
        <v>9445</v>
      </c>
      <c r="C1284" s="143">
        <f>HLOOKUP("start",ESLData!E$1:E$9960,MATCH($A1284,ESLData!$B$1:$B$9960,0))*-1</f>
        <v>50498.080000000002</v>
      </c>
      <c r="D1284" s="163">
        <f>ROUND(SUM(C1281:C1284),0)</f>
        <v>71127</v>
      </c>
      <c r="E1284" s="143">
        <f>HLOOKUP("start",ESLData!F$1:F$9960,MATCH($A1284,ESLData!$B$1:$B$9960,0))*-1</f>
        <v>85839</v>
      </c>
      <c r="F1284" s="148">
        <f>ROUND(SUM(E1281:E1284),0)</f>
        <v>85839</v>
      </c>
      <c r="G1284" s="143">
        <f>HLOOKUP("start",ESLData!H$1:H$9960,MATCH($A1284,ESLData!$B$1:$B$9960,0))*-1</f>
        <v>54680.95</v>
      </c>
      <c r="H1284" s="148">
        <f>ROUND(SUM(G1281:G1284),0)</f>
        <v>94352</v>
      </c>
      <c r="K1284" s="142" t="str">
        <f>IF(ISNA(HLOOKUP("start",ESLData!C$1:C$9960,MATCH($A1284,ESLData!$B$1:$B$9960,0))),"",HLOOKUP("start",ESLData!C$1:C$9960,MATCH($A1284,ESLData!$B$1:$B$9960,0)))</f>
        <v>TRL Finance Lease Term</v>
      </c>
    </row>
    <row r="1285" spans="1:11" ht="14.25" customHeight="1" x14ac:dyDescent="0.2">
      <c r="A1285" s="77"/>
      <c r="C1285" s="143"/>
      <c r="D1285" s="148"/>
      <c r="E1285" s="143"/>
      <c r="F1285" s="148"/>
      <c r="G1285" s="143"/>
      <c r="H1285" s="148"/>
    </row>
    <row r="1286" spans="1:11" ht="14.25" customHeight="1" x14ac:dyDescent="0.2">
      <c r="A1286" s="147" t="s">
        <v>1030</v>
      </c>
      <c r="C1286" s="143"/>
      <c r="D1286" s="148"/>
      <c r="E1286" s="143"/>
      <c r="F1286" s="148"/>
      <c r="G1286" s="143"/>
      <c r="H1286" s="148"/>
    </row>
    <row r="1287" spans="1:11" ht="14.25" customHeight="1" x14ac:dyDescent="0.2">
      <c r="A1287" s="144">
        <v>9388</v>
      </c>
      <c r="C1287" s="143">
        <f>HLOOKUP("start",ESLData!E$1:E$9960,MATCH($A1287,ESLData!$B$1:$B$9960,0))</f>
        <v>5418.66</v>
      </c>
      <c r="D1287" s="163">
        <f>ROUND(SUM(C1287),0)</f>
        <v>5419</v>
      </c>
      <c r="E1287" s="143">
        <f>HLOOKUP("start",ESLData!F$1:F$9960,MATCH($A1287,ESLData!$B$1:$B$9960,0))*-1</f>
        <v>0</v>
      </c>
      <c r="F1287" s="148">
        <f>ROUND(SUM(E1287),0)</f>
        <v>0</v>
      </c>
      <c r="G1287" s="143">
        <f>HLOOKUP("start",ESLData!H$1:H$9960,MATCH($A1287,ESLData!$B$1:$B$9960,0))</f>
        <v>8512.7900000000009</v>
      </c>
      <c r="H1287" s="148">
        <f>ROUND(SUM(G1287),0)</f>
        <v>8513</v>
      </c>
      <c r="K1287" s="142" t="str">
        <f>IF(ISNA(HLOOKUP("start",ESLData!C$1:C$9960,MATCH($A1287,ESLData!$B$1:$B$9960,0))),"",HLOOKUP("start",ESLData!C$1:C$9960,MATCH($A1287,ESLData!$B$1:$B$9960,0)))</f>
        <v>Prepaid interest</v>
      </c>
    </row>
    <row r="1288" spans="1:11" ht="14.25" customHeight="1" x14ac:dyDescent="0.2">
      <c r="C1288" s="143"/>
      <c r="D1288" s="148"/>
      <c r="E1288" s="143"/>
      <c r="F1288" s="148"/>
      <c r="G1288" s="143"/>
      <c r="H1288" s="148"/>
    </row>
    <row r="1289" spans="1:11" ht="14.25" customHeight="1" x14ac:dyDescent="0.2">
      <c r="A1289" s="147" t="s">
        <v>1136</v>
      </c>
    </row>
    <row r="1290" spans="1:11" ht="14.25" customHeight="1" x14ac:dyDescent="0.2">
      <c r="A1290" s="144">
        <v>9501</v>
      </c>
      <c r="C1290" s="143">
        <f>HLOOKUP("start",ESLData!E$1:E$9960,MATCH($A1290,ESLData!$B$1:$B$9960,0))*-1</f>
        <v>112838</v>
      </c>
      <c r="D1290" s="163">
        <f>ROUND(SUM(C1290),0)</f>
        <v>112838</v>
      </c>
      <c r="E1290" s="143">
        <f>HLOOKUP("start",ESLData!F$1:F$9960,MATCH($A1290,ESLData!$B$1:$B$9960,0))*-1</f>
        <v>0</v>
      </c>
      <c r="F1290" s="148">
        <f>ROUND(SUM(E1290),0)</f>
        <v>0</v>
      </c>
      <c r="G1290" s="143">
        <f>HLOOKUP("start",ESLData!H$1:H$9960,MATCH($A1290,ESLData!$B$1:$B$9960,0))*-1</f>
        <v>256350</v>
      </c>
      <c r="H1290" s="148">
        <f>ROUND(SUM(G1290),0)</f>
        <v>256350</v>
      </c>
      <c r="K1290" s="142" t="str">
        <f>IF(ISNA(HLOOKUP("start",ESLData!C$1:C$9960,MATCH($A1290,ESLData!$B$1:$B$9960,0))),"",HLOOKUP("start",ESLData!C$1:C$9960,MATCH($A1290,ESLData!$B$1:$B$9960,0)))</f>
        <v>MOE Capital Contribution</v>
      </c>
    </row>
  </sheetData>
  <sortState xmlns:xlrd2="http://schemas.microsoft.com/office/spreadsheetml/2017/richdata2" ref="A1170:A1189">
    <sortCondition ref="A1170:A1189"/>
  </sortState>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I102"/>
  <sheetViews>
    <sheetView workbookViewId="0"/>
  </sheetViews>
  <sheetFormatPr defaultRowHeight="12.75" x14ac:dyDescent="0.2"/>
  <cols>
    <col min="3" max="3" width="34.28515625" bestFit="1" customWidth="1"/>
    <col min="5" max="5" width="15.7109375" bestFit="1" customWidth="1"/>
    <col min="6" max="6" width="12.7109375" bestFit="1" customWidth="1"/>
    <col min="8" max="9" width="10.140625" bestFit="1" customWidth="1"/>
  </cols>
  <sheetData>
    <row r="1" spans="1:9" x14ac:dyDescent="0.2">
      <c r="A1" s="1" t="s">
        <v>194</v>
      </c>
    </row>
    <row r="2" spans="1:9" x14ac:dyDescent="0.2">
      <c r="A2" s="1"/>
    </row>
    <row r="3" spans="1:9" x14ac:dyDescent="0.2">
      <c r="C3" t="s">
        <v>196</v>
      </c>
      <c r="D3" t="s">
        <v>197</v>
      </c>
      <c r="E3" t="s">
        <v>412</v>
      </c>
    </row>
    <row r="4" spans="1:9" x14ac:dyDescent="0.2">
      <c r="A4" t="s">
        <v>195</v>
      </c>
      <c r="C4">
        <f>(+ESLData!E21)</f>
        <v>-1200353.02</v>
      </c>
      <c r="D4">
        <f>8384270.3+222080+25068.97+664.02</f>
        <v>8632083.290000001</v>
      </c>
      <c r="E4">
        <f>+C4+D4</f>
        <v>7431730.2700000014</v>
      </c>
      <c r="F4" t="s">
        <v>198</v>
      </c>
    </row>
    <row r="5" spans="1:9" x14ac:dyDescent="0.2">
      <c r="H5" t="s">
        <v>607</v>
      </c>
      <c r="I5" t="s">
        <v>185</v>
      </c>
    </row>
    <row r="6" spans="1:9" x14ac:dyDescent="0.2">
      <c r="A6" t="s">
        <v>199</v>
      </c>
      <c r="C6" s="108">
        <f>SUM(C7:C66)+C4</f>
        <v>16894547.080000002</v>
      </c>
      <c r="D6">
        <v>3411892.9</v>
      </c>
      <c r="E6" s="108">
        <f>+C6-D6</f>
        <v>13482654.180000002</v>
      </c>
      <c r="F6" t="s">
        <v>86</v>
      </c>
    </row>
    <row r="7" spans="1:9" x14ac:dyDescent="0.2">
      <c r="A7" s="16">
        <v>24500</v>
      </c>
      <c r="C7" s="107">
        <f>HLOOKUP("start",ESLData!E$1:E$9960,MATCH($A7,ESLData!$B$1:$B$9960,0))</f>
        <v>9461.5499999999993</v>
      </c>
      <c r="H7" s="107">
        <f>HLOOKUP("start",ESLData!F$1:F$9988,MATCH($A7,ESLData!$B$1:$B$9988,0))</f>
        <v>0</v>
      </c>
      <c r="I7" s="107">
        <f>HLOOKUP("start",ESLData!H$1:H$9988,MATCH($A7,ESLData!$B$1:$B$9988,0))</f>
        <v>34766.629999999997</v>
      </c>
    </row>
    <row r="8" spans="1:9" x14ac:dyDescent="0.2">
      <c r="A8" s="16">
        <v>24650</v>
      </c>
      <c r="C8" s="107">
        <f>HLOOKUP("start",ESLData!E$1:E$9960,MATCH($A8,ESLData!$B$1:$B$9960,0))</f>
        <v>8875.2099999999991</v>
      </c>
      <c r="H8" s="107">
        <f>HLOOKUP("start",ESLData!F$1:F$9988,MATCH($A8,ESLData!$B$1:$B$9988,0))</f>
        <v>18900</v>
      </c>
      <c r="I8" s="107">
        <f>HLOOKUP("start",ESLData!H$1:H$9988,MATCH($A8,ESLData!$B$1:$B$9988,0))</f>
        <v>879.86</v>
      </c>
    </row>
    <row r="9" spans="1:9" x14ac:dyDescent="0.2">
      <c r="A9" s="16">
        <v>24831</v>
      </c>
      <c r="C9" s="107">
        <f>HLOOKUP("start",ESLData!E$1:E$9960,MATCH($A9,ESLData!$B$1:$B$9960,0))</f>
        <v>19124.400000000001</v>
      </c>
      <c r="H9" s="107">
        <f>HLOOKUP("start",ESLData!F$1:F$9988,MATCH($A9,ESLData!$B$1:$B$9988,0))</f>
        <v>9450</v>
      </c>
      <c r="I9" s="107">
        <f>HLOOKUP("start",ESLData!H$1:H$9988,MATCH($A9,ESLData!$B$1:$B$9988,0))</f>
        <v>15101.75</v>
      </c>
    </row>
    <row r="10" spans="1:9" x14ac:dyDescent="0.2">
      <c r="A10" s="16">
        <v>24861</v>
      </c>
      <c r="C10" s="107">
        <f>HLOOKUP("start",ESLData!E$1:E$9960,MATCH($A10,ESLData!$B$1:$B$9960,0))</f>
        <v>1514.39</v>
      </c>
      <c r="H10" s="107">
        <f>HLOOKUP("start",ESLData!F$1:F$9988,MATCH($A10,ESLData!$B$1:$B$9988,0))</f>
        <v>9450</v>
      </c>
      <c r="I10" s="107">
        <f>HLOOKUP("start",ESLData!H$1:H$9988,MATCH($A10,ESLData!$B$1:$B$9988,0))</f>
        <v>1155.3499999999999</v>
      </c>
    </row>
    <row r="11" spans="1:9" x14ac:dyDescent="0.2">
      <c r="A11" s="16">
        <v>24881</v>
      </c>
      <c r="C11" s="107">
        <f>HLOOKUP("start",ESLData!E$1:E$9960,MATCH($A11,ESLData!$B$1:$B$9960,0))</f>
        <v>0</v>
      </c>
      <c r="H11" s="107">
        <f>HLOOKUP("start",ESLData!F$1:F$9988,MATCH($A11,ESLData!$B$1:$B$9988,0))</f>
        <v>9450</v>
      </c>
      <c r="I11" s="107">
        <f>HLOOKUP("start",ESLData!H$1:H$9988,MATCH($A11,ESLData!$B$1:$B$9988,0))</f>
        <v>0</v>
      </c>
    </row>
    <row r="12" spans="1:9" x14ac:dyDescent="0.2">
      <c r="A12" s="16">
        <v>24891</v>
      </c>
      <c r="C12" s="107">
        <f>HLOOKUP("start",ESLData!E$1:E$9960,MATCH($A12,ESLData!$B$1:$B$9960,0))</f>
        <v>121.74</v>
      </c>
      <c r="H12" s="107">
        <f>HLOOKUP("start",ESLData!F$1:F$9988,MATCH($A12,ESLData!$B$1:$B$9988,0))</f>
        <v>0</v>
      </c>
      <c r="I12" s="107">
        <f>HLOOKUP("start",ESLData!H$1:H$9988,MATCH($A12,ESLData!$B$1:$B$9988,0))</f>
        <v>0</v>
      </c>
    </row>
    <row r="13" spans="1:9" x14ac:dyDescent="0.2">
      <c r="A13" s="16">
        <v>24901</v>
      </c>
      <c r="C13" s="107">
        <f>HLOOKUP("start",ESLData!E$1:E$9960,MATCH($A13,ESLData!$B$1:$B$9960,0))</f>
        <v>70734.25</v>
      </c>
      <c r="H13" s="107">
        <f>HLOOKUP("start",ESLData!F$1:F$9988,MATCH($A13,ESLData!$B$1:$B$9988,0))</f>
        <v>37800</v>
      </c>
      <c r="I13" s="107">
        <f>HLOOKUP("start",ESLData!H$1:H$9988,MATCH($A13,ESLData!$B$1:$B$9988,0))</f>
        <v>41333.919999999998</v>
      </c>
    </row>
    <row r="14" spans="1:9" x14ac:dyDescent="0.2">
      <c r="A14" s="16">
        <v>30330</v>
      </c>
      <c r="C14" s="107">
        <f>HLOOKUP("start",ESLData!E$1:E$9960,MATCH($A14,ESLData!$B$1:$B$9960,0))</f>
        <v>37905.040000000001</v>
      </c>
      <c r="H14" s="107">
        <f>HLOOKUP("start",ESLData!F$1:F$9988,MATCH($A14,ESLData!$B$1:$B$9988,0))</f>
        <v>37550</v>
      </c>
      <c r="I14" s="107">
        <f>HLOOKUP("start",ESLData!H$1:H$9988,MATCH($A14,ESLData!$B$1:$B$9988,0))</f>
        <v>45090.78</v>
      </c>
    </row>
    <row r="15" spans="1:9" x14ac:dyDescent="0.2">
      <c r="A15" s="16">
        <v>30350</v>
      </c>
      <c r="C15" s="107">
        <f>HLOOKUP("start",ESLData!E$1:E$9960,MATCH($A15,ESLData!$B$1:$B$9960,0))</f>
        <v>44995.85</v>
      </c>
      <c r="H15" s="107">
        <f>HLOOKUP("start",ESLData!F$1:F$9988,MATCH($A15,ESLData!$B$1:$B$9988,0))</f>
        <v>67230</v>
      </c>
      <c r="I15" s="107">
        <f>HLOOKUP("start",ESLData!H$1:H$9988,MATCH($A15,ESLData!$B$1:$B$9988,0))</f>
        <v>27163.43</v>
      </c>
    </row>
    <row r="16" spans="1:9" x14ac:dyDescent="0.2">
      <c r="A16" s="16">
        <v>30385</v>
      </c>
      <c r="C16" s="107">
        <f>HLOOKUP("start",ESLData!E$1:E$9960,MATCH($A16,ESLData!$B$1:$B$9960,0))</f>
        <v>0</v>
      </c>
      <c r="H16" s="107">
        <f>HLOOKUP("start",ESLData!F$1:F$9988,MATCH($A16,ESLData!$B$1:$B$9988,0))</f>
        <v>0</v>
      </c>
      <c r="I16" s="107">
        <f>HLOOKUP("start",ESLData!H$1:H$9988,MATCH($A16,ESLData!$B$1:$B$9988,0))</f>
        <v>0</v>
      </c>
    </row>
    <row r="17" spans="1:9" x14ac:dyDescent="0.2">
      <c r="A17" s="16">
        <v>30390</v>
      </c>
      <c r="C17" s="107">
        <f>HLOOKUP("start",ESLData!E$1:E$9960,MATCH($A17,ESLData!$B$1:$B$9960,0))</f>
        <v>69750.12</v>
      </c>
      <c r="H17" s="107">
        <f>HLOOKUP("start",ESLData!F$1:F$9988,MATCH($A17,ESLData!$B$1:$B$9988,0))</f>
        <v>77546</v>
      </c>
      <c r="I17" s="107">
        <f>HLOOKUP("start",ESLData!H$1:H$9988,MATCH($A17,ESLData!$B$1:$B$9988,0))</f>
        <v>55130.63</v>
      </c>
    </row>
    <row r="18" spans="1:9" x14ac:dyDescent="0.2">
      <c r="A18" s="16">
        <v>32040</v>
      </c>
      <c r="C18" s="107">
        <f>HLOOKUP("start",ESLData!E$1:E$9960,MATCH($A18,ESLData!$B$1:$B$9960,0))</f>
        <v>0</v>
      </c>
      <c r="H18" s="107">
        <f>HLOOKUP("start",ESLData!F$1:F$9988,MATCH($A18,ESLData!$B$1:$B$9988,0))</f>
        <v>0</v>
      </c>
      <c r="I18" s="107">
        <f>HLOOKUP("start",ESLData!H$1:H$9988,MATCH($A18,ESLData!$B$1:$B$9988,0))</f>
        <v>0</v>
      </c>
    </row>
    <row r="19" spans="1:9" x14ac:dyDescent="0.2">
      <c r="A19" s="16">
        <v>33010</v>
      </c>
      <c r="C19" s="107">
        <f>HLOOKUP("start",ESLData!E$1:E$9960,MATCH($A19,ESLData!$B$1:$B$9960,0))</f>
        <v>480594.73</v>
      </c>
      <c r="H19" s="107">
        <f>HLOOKUP("start",ESLData!F$1:F$9988,MATCH($A19,ESLData!$B$1:$B$9988,0))</f>
        <v>408330</v>
      </c>
      <c r="I19" s="107">
        <f>HLOOKUP("start",ESLData!H$1:H$9988,MATCH($A19,ESLData!$B$1:$B$9988,0))</f>
        <v>488856.51</v>
      </c>
    </row>
    <row r="20" spans="1:9" x14ac:dyDescent="0.2">
      <c r="A20" s="16">
        <v>33285</v>
      </c>
      <c r="C20" s="107">
        <f>HLOOKUP("start",ESLData!E$1:E$9960,MATCH($A20,ESLData!$B$1:$B$9960,0))</f>
        <v>9808.93</v>
      </c>
      <c r="H20" s="107">
        <f>HLOOKUP("start",ESLData!F$1:F$9988,MATCH($A20,ESLData!$B$1:$B$9988,0))</f>
        <v>6518</v>
      </c>
      <c r="I20" s="107">
        <f>HLOOKUP("start",ESLData!H$1:H$9988,MATCH($A20,ESLData!$B$1:$B$9988,0))</f>
        <v>6823.88</v>
      </c>
    </row>
    <row r="21" spans="1:9" x14ac:dyDescent="0.2">
      <c r="A21" s="16">
        <v>33500</v>
      </c>
      <c r="C21" s="107">
        <f>HLOOKUP("start",ESLData!E$1:E$9960,MATCH($A21,ESLData!$B$1:$B$9960,0))</f>
        <v>27864.11</v>
      </c>
      <c r="H21" s="107">
        <f>HLOOKUP("start",ESLData!F$1:F$9988,MATCH($A21,ESLData!$B$1:$B$9988,0))</f>
        <v>57000</v>
      </c>
      <c r="I21" s="107">
        <f>HLOOKUP("start",ESLData!H$1:H$9988,MATCH($A21,ESLData!$B$1:$B$9988,0))</f>
        <v>35656.800000000003</v>
      </c>
    </row>
    <row r="22" spans="1:9" x14ac:dyDescent="0.2">
      <c r="A22" s="16">
        <v>33520</v>
      </c>
      <c r="C22" s="107">
        <f>HLOOKUP("start",ESLData!E$1:E$9960,MATCH($A22,ESLData!$B$1:$B$9960,0))</f>
        <v>3188.98</v>
      </c>
      <c r="H22" s="107">
        <f>HLOOKUP("start",ESLData!F$1:F$9988,MATCH($A22,ESLData!$B$1:$B$9988,0))</f>
        <v>2800</v>
      </c>
      <c r="I22" s="107">
        <f>HLOOKUP("start",ESLData!H$1:H$9988,MATCH($A22,ESLData!$B$1:$B$9988,0))</f>
        <v>5600</v>
      </c>
    </row>
    <row r="23" spans="1:9" x14ac:dyDescent="0.2">
      <c r="A23" s="16">
        <v>33525</v>
      </c>
      <c r="C23" s="107">
        <f>HLOOKUP("start",ESLData!E$1:E$9960,MATCH($A23,ESLData!$B$1:$B$9960,0))</f>
        <v>24165.03</v>
      </c>
      <c r="H23" s="107">
        <f>HLOOKUP("start",ESLData!F$1:F$9988,MATCH($A23,ESLData!$B$1:$B$9988,0))</f>
        <v>37600</v>
      </c>
      <c r="I23" s="107">
        <f>HLOOKUP("start",ESLData!H$1:H$9988,MATCH($A23,ESLData!$B$1:$B$9988,0))</f>
        <v>8623.48</v>
      </c>
    </row>
    <row r="24" spans="1:9" x14ac:dyDescent="0.2">
      <c r="A24" s="1">
        <v>33550</v>
      </c>
      <c r="C24" s="107">
        <f>HLOOKUP("start",ESLData!E$1:E$9960,MATCH($A24,ESLData!$B$1:$B$9960,0))</f>
        <v>0</v>
      </c>
      <c r="H24" s="107">
        <f>HLOOKUP("start",ESLData!F$1:F$9988,MATCH($A24,ESLData!$B$1:$B$9988,0))</f>
        <v>0</v>
      </c>
      <c r="I24" s="107">
        <f>HLOOKUP("start",ESLData!H$1:H$9988,MATCH($A24,ESLData!$B$1:$B$9988,0))</f>
        <v>0</v>
      </c>
    </row>
    <row r="25" spans="1:9" x14ac:dyDescent="0.2">
      <c r="A25" s="1">
        <v>34700</v>
      </c>
      <c r="C25" s="107">
        <f>HLOOKUP("start",ESLData!E$1:E$9960,MATCH($A25,ESLData!$B$1:$B$9960,0))</f>
        <v>0</v>
      </c>
      <c r="H25" s="107">
        <f>HLOOKUP("start",ESLData!F$1:F$9988,MATCH($A25,ESLData!$B$1:$B$9988,0))</f>
        <v>0</v>
      </c>
      <c r="I25" s="107">
        <f>HLOOKUP("start",ESLData!H$1:H$9988,MATCH($A25,ESLData!$B$1:$B$9988,0))</f>
        <v>4579.82</v>
      </c>
    </row>
    <row r="26" spans="1:9" x14ac:dyDescent="0.2">
      <c r="A26" s="1">
        <v>35160</v>
      </c>
      <c r="C26" s="107">
        <f>HLOOKUP("start",ESLData!E$1:E$9960,MATCH($A26,ESLData!$B$1:$B$9960,0))</f>
        <v>0</v>
      </c>
      <c r="H26" s="107">
        <f>HLOOKUP("start",ESLData!F$1:F$9988,MATCH($A26,ESLData!$B$1:$B$9988,0))</f>
        <v>0</v>
      </c>
      <c r="I26" s="107">
        <f>HLOOKUP("start",ESLData!H$1:H$9988,MATCH($A26,ESLData!$B$1:$B$9988,0))</f>
        <v>4579.16</v>
      </c>
    </row>
    <row r="27" spans="1:9" x14ac:dyDescent="0.2">
      <c r="A27" s="1">
        <v>35171</v>
      </c>
      <c r="C27" s="107">
        <f>HLOOKUP("start",ESLData!E$1:E$9960,MATCH($A27,ESLData!$B$1:$B$9960,0))</f>
        <v>29227.200000000001</v>
      </c>
      <c r="H27" s="107">
        <f>HLOOKUP("start",ESLData!F$1:F$9988,MATCH($A27,ESLData!$B$1:$B$9988,0))</f>
        <v>30907</v>
      </c>
      <c r="I27" s="107">
        <f>HLOOKUP("start",ESLData!H$1:H$9988,MATCH($A27,ESLData!$B$1:$B$9988,0))</f>
        <v>21519.3</v>
      </c>
    </row>
    <row r="28" spans="1:9" x14ac:dyDescent="0.2">
      <c r="A28" s="1">
        <v>35200</v>
      </c>
      <c r="C28" s="107">
        <f>HLOOKUP("start",ESLData!E$1:E$9960,MATCH($A28,ESLData!$B$1:$B$9960,0))</f>
        <v>56231.83</v>
      </c>
      <c r="H28" s="107">
        <f>HLOOKUP("start",ESLData!F$1:F$9988,MATCH($A28,ESLData!$B$1:$B$9988,0))</f>
        <v>51089</v>
      </c>
      <c r="I28" s="107">
        <f>HLOOKUP("start",ESLData!H$1:H$9988,MATCH($A28,ESLData!$B$1:$B$9988,0))</f>
        <v>49942.97</v>
      </c>
    </row>
    <row r="29" spans="1:9" x14ac:dyDescent="0.2">
      <c r="A29" s="1">
        <v>35400</v>
      </c>
      <c r="C29" s="107">
        <f>HLOOKUP("start",ESLData!E$1:E$9960,MATCH($A29,ESLData!$B$1:$B$9960,0))</f>
        <v>28828.1</v>
      </c>
      <c r="H29" s="107">
        <f>HLOOKUP("start",ESLData!F$1:F$9988,MATCH($A29,ESLData!$B$1:$B$9988,0))</f>
        <v>32100</v>
      </c>
      <c r="I29" s="107">
        <f>HLOOKUP("start",ESLData!H$1:H$9988,MATCH($A29,ESLData!$B$1:$B$9988,0))</f>
        <v>25670.44</v>
      </c>
    </row>
    <row r="30" spans="1:9" x14ac:dyDescent="0.2">
      <c r="A30" s="1">
        <v>35525</v>
      </c>
      <c r="C30" s="107">
        <f>HLOOKUP("start",ESLData!E$1:E$9960,MATCH($A30,ESLData!$B$1:$B$9960,0))</f>
        <v>97566.25</v>
      </c>
      <c r="H30" s="107">
        <f>HLOOKUP("start",ESLData!F$1:F$9988,MATCH($A30,ESLData!$B$1:$B$9988,0))</f>
        <v>140000</v>
      </c>
      <c r="I30" s="107">
        <f>HLOOKUP("start",ESLData!H$1:H$9988,MATCH($A30,ESLData!$B$1:$B$9988,0))</f>
        <v>197918.04</v>
      </c>
    </row>
    <row r="31" spans="1:9" x14ac:dyDescent="0.2">
      <c r="A31" s="1">
        <v>35700</v>
      </c>
      <c r="C31" s="107">
        <f>HLOOKUP("start",ESLData!E$1:E$9960,MATCH($A31,ESLData!$B$1:$B$9960,0))</f>
        <v>32355.599999999999</v>
      </c>
      <c r="H31" s="107">
        <f>HLOOKUP("start",ESLData!F$1:F$9988,MATCH($A31,ESLData!$B$1:$B$9988,0))</f>
        <v>31180</v>
      </c>
      <c r="I31" s="107">
        <f>HLOOKUP("start",ESLData!H$1:H$9988,MATCH($A31,ESLData!$B$1:$B$9988,0))</f>
        <v>31492.65</v>
      </c>
    </row>
    <row r="32" spans="1:9" x14ac:dyDescent="0.2">
      <c r="A32" s="1">
        <v>35800</v>
      </c>
      <c r="C32" s="107">
        <f>HLOOKUP("start",ESLData!E$1:E$9960,MATCH($A32,ESLData!$B$1:$B$9960,0))</f>
        <v>40121.760000000002</v>
      </c>
      <c r="H32" s="107">
        <f>HLOOKUP("start",ESLData!F$1:F$9988,MATCH($A32,ESLData!$B$1:$B$9988,0))</f>
        <v>44600</v>
      </c>
      <c r="I32" s="107">
        <f>HLOOKUP("start",ESLData!H$1:H$9988,MATCH($A32,ESLData!$B$1:$B$9988,0))</f>
        <v>41678.28</v>
      </c>
    </row>
    <row r="33" spans="1:9" x14ac:dyDescent="0.2">
      <c r="A33" s="1">
        <v>35900</v>
      </c>
      <c r="C33" s="107">
        <f>HLOOKUP("start",ESLData!E$1:E$9960,MATCH($A33,ESLData!$B$1:$B$9960,0))</f>
        <v>0</v>
      </c>
      <c r="H33" s="107">
        <f>HLOOKUP("start",ESLData!F$1:F$9988,MATCH($A33,ESLData!$B$1:$B$9988,0))</f>
        <v>0</v>
      </c>
      <c r="I33" s="107">
        <f>HLOOKUP("start",ESLData!H$1:H$9988,MATCH($A33,ESLData!$B$1:$B$9988,0))</f>
        <v>0</v>
      </c>
    </row>
    <row r="34" spans="1:9" x14ac:dyDescent="0.2">
      <c r="A34" s="1">
        <v>37300</v>
      </c>
      <c r="C34" s="107">
        <f>HLOOKUP("start",ESLData!E$1:E$9960,MATCH($A34,ESLData!$B$1:$B$9960,0))</f>
        <v>174.5</v>
      </c>
      <c r="H34" s="107">
        <f>HLOOKUP("start",ESLData!F$1:F$9988,MATCH($A34,ESLData!$B$1:$B$9988,0))</f>
        <v>0</v>
      </c>
      <c r="I34" s="107">
        <f>HLOOKUP("start",ESLData!H$1:H$9988,MATCH($A34,ESLData!$B$1:$B$9988,0))</f>
        <v>31058.880000000001</v>
      </c>
    </row>
    <row r="35" spans="1:9" x14ac:dyDescent="0.2">
      <c r="A35" s="1">
        <v>37305</v>
      </c>
      <c r="C35" s="107">
        <f>HLOOKUP("start",ESLData!E$1:E$9960,MATCH($A35,ESLData!$B$1:$B$9960,0))</f>
        <v>75257.06</v>
      </c>
      <c r="H35" s="107">
        <f>HLOOKUP("start",ESLData!F$1:F$9988,MATCH($A35,ESLData!$B$1:$B$9988,0))</f>
        <v>77705</v>
      </c>
      <c r="I35" s="107">
        <f>HLOOKUP("start",ESLData!H$1:H$9988,MATCH($A35,ESLData!$B$1:$B$9988,0))</f>
        <v>71216.479999999996</v>
      </c>
    </row>
    <row r="36" spans="1:9" x14ac:dyDescent="0.2">
      <c r="A36" s="1">
        <v>37306</v>
      </c>
      <c r="C36" s="107">
        <f>HLOOKUP("start",ESLData!E$1:E$9960,MATCH($A36,ESLData!$B$1:$B$9960,0))</f>
        <v>4105.87</v>
      </c>
      <c r="H36" s="107">
        <f>HLOOKUP("start",ESLData!F$1:F$9988,MATCH($A36,ESLData!$B$1:$B$9988,0))</f>
        <v>13000</v>
      </c>
      <c r="I36" s="107">
        <f>HLOOKUP("start",ESLData!H$1:H$9988,MATCH($A36,ESLData!$B$1:$B$9988,0))</f>
        <v>1754.9</v>
      </c>
    </row>
    <row r="37" spans="1:9" x14ac:dyDescent="0.2">
      <c r="A37" s="1">
        <v>37315</v>
      </c>
      <c r="C37" s="107">
        <f>HLOOKUP("start",ESLData!E$1:E$9960,MATCH($A37,ESLData!$B$1:$B$9960,0))</f>
        <v>0</v>
      </c>
      <c r="H37" s="107">
        <f>HLOOKUP("start",ESLData!F$1:F$9988,MATCH($A37,ESLData!$B$1:$B$9988,0))</f>
        <v>0</v>
      </c>
      <c r="I37" s="107">
        <f>HLOOKUP("start",ESLData!H$1:H$9988,MATCH($A37,ESLData!$B$1:$B$9988,0))</f>
        <v>0</v>
      </c>
    </row>
    <row r="38" spans="1:9" x14ac:dyDescent="0.2">
      <c r="A38" s="1">
        <v>37400</v>
      </c>
      <c r="C38" s="107">
        <f>HLOOKUP("start",ESLData!E$1:E$9960,MATCH($A38,ESLData!$B$1:$B$9960,0))</f>
        <v>23469.34</v>
      </c>
      <c r="H38" s="107">
        <f>HLOOKUP("start",ESLData!F$1:F$9988,MATCH($A38,ESLData!$B$1:$B$9988,0))</f>
        <v>21572</v>
      </c>
      <c r="I38" s="107">
        <f>HLOOKUP("start",ESLData!H$1:H$9988,MATCH($A38,ESLData!$B$1:$B$9988,0))</f>
        <v>20876.93</v>
      </c>
    </row>
    <row r="39" spans="1:9" x14ac:dyDescent="0.2">
      <c r="A39" s="1">
        <v>37500</v>
      </c>
      <c r="C39" s="107">
        <f>HLOOKUP("start",ESLData!E$1:E$9960,MATCH($A39,ESLData!$B$1:$B$9960,0))</f>
        <v>14522.3</v>
      </c>
      <c r="H39" s="107">
        <f>HLOOKUP("start",ESLData!F$1:F$9988,MATCH($A39,ESLData!$B$1:$B$9988,0))</f>
        <v>13283</v>
      </c>
      <c r="I39" s="107">
        <f>HLOOKUP("start",ESLData!H$1:H$9988,MATCH($A39,ESLData!$B$1:$B$9988,0))</f>
        <v>13938.56</v>
      </c>
    </row>
    <row r="40" spans="1:9" x14ac:dyDescent="0.2">
      <c r="A40" s="1">
        <v>37900</v>
      </c>
      <c r="C40" s="107">
        <f>HLOOKUP("start",ESLData!E$1:E$9960,MATCH($A40,ESLData!$B$1:$B$9960,0))</f>
        <v>0</v>
      </c>
      <c r="H40" s="107">
        <f>HLOOKUP("start",ESLData!F$1:F$9988,MATCH($A40,ESLData!$B$1:$B$9988,0))</f>
        <v>0</v>
      </c>
      <c r="I40" s="107">
        <f>HLOOKUP("start",ESLData!H$1:H$9988,MATCH($A40,ESLData!$B$1:$B$9988,0))</f>
        <v>0</v>
      </c>
    </row>
    <row r="41" spans="1:9" x14ac:dyDescent="0.2">
      <c r="A41" s="1">
        <v>38220</v>
      </c>
      <c r="C41" s="107">
        <f>HLOOKUP("start",ESLData!E$1:E$9960,MATCH($A41,ESLData!$B$1:$B$9960,0))</f>
        <v>734059.67</v>
      </c>
      <c r="H41" s="107">
        <f>HLOOKUP("start",ESLData!F$1:F$9988,MATCH($A41,ESLData!$B$1:$B$9988,0))</f>
        <v>746727</v>
      </c>
      <c r="I41" s="107">
        <f>HLOOKUP("start",ESLData!H$1:H$9988,MATCH($A41,ESLData!$B$1:$B$9988,0))</f>
        <v>574857.65</v>
      </c>
    </row>
    <row r="42" spans="1:9" x14ac:dyDescent="0.2">
      <c r="A42" s="1">
        <v>38221</v>
      </c>
      <c r="C42" s="107">
        <f>HLOOKUP("start",ESLData!E$1:E$9960,MATCH($A42,ESLData!$B$1:$B$9960,0))</f>
        <v>77497.42</v>
      </c>
      <c r="H42" s="107">
        <f>HLOOKUP("start",ESLData!F$1:F$9988,MATCH($A42,ESLData!$B$1:$B$9988,0))</f>
        <v>76162</v>
      </c>
      <c r="I42" s="107">
        <f>HLOOKUP("start",ESLData!H$1:H$9988,MATCH($A42,ESLData!$B$1:$B$9988,0))</f>
        <v>68307.37</v>
      </c>
    </row>
    <row r="43" spans="1:9" x14ac:dyDescent="0.2">
      <c r="A43" s="1">
        <v>38500</v>
      </c>
      <c r="C43" s="107">
        <f>HLOOKUP("start",ESLData!E$1:E$9960,MATCH($A43,ESLData!$B$1:$B$9960,0))</f>
        <v>78999.429999999993</v>
      </c>
      <c r="H43" s="107">
        <f>HLOOKUP("start",ESLData!F$1:F$9988,MATCH($A43,ESLData!$B$1:$B$9988,0))</f>
        <v>75270</v>
      </c>
      <c r="I43" s="107">
        <f>HLOOKUP("start",ESLData!H$1:H$9988,MATCH($A43,ESLData!$B$1:$B$9988,0))</f>
        <v>56277.63</v>
      </c>
    </row>
    <row r="44" spans="1:9" x14ac:dyDescent="0.2">
      <c r="A44" s="1">
        <v>38700</v>
      </c>
      <c r="C44" s="107">
        <f>HLOOKUP("start",ESLData!E$1:E$9960,MATCH($A44,ESLData!$B$1:$B$9960,0))</f>
        <v>0</v>
      </c>
      <c r="H44" s="107">
        <f>HLOOKUP("start",ESLData!F$1:F$9988,MATCH($A44,ESLData!$B$1:$B$9988,0))</f>
        <v>0</v>
      </c>
      <c r="I44" s="107">
        <f>HLOOKUP("start",ESLData!H$1:H$9988,MATCH($A44,ESLData!$B$1:$B$9988,0))</f>
        <v>0</v>
      </c>
    </row>
    <row r="45" spans="1:9" x14ac:dyDescent="0.2">
      <c r="A45" s="1">
        <v>38929</v>
      </c>
      <c r="C45" s="107">
        <f>HLOOKUP("start",ESLData!E$1:E$9960,MATCH($A45,ESLData!$B$1:$B$9960,0))</f>
        <v>10161.19</v>
      </c>
      <c r="H45" s="107">
        <f>HLOOKUP("start",ESLData!F$1:F$9988,MATCH($A45,ESLData!$B$1:$B$9988,0))</f>
        <v>17928</v>
      </c>
      <c r="I45" s="107">
        <f>HLOOKUP("start",ESLData!H$1:H$9988,MATCH($A45,ESLData!$B$1:$B$9988,0))</f>
        <v>11315.55</v>
      </c>
    </row>
    <row r="46" spans="1:9" x14ac:dyDescent="0.2">
      <c r="A46" s="1">
        <v>38930</v>
      </c>
      <c r="C46" s="107">
        <f>HLOOKUP("start",ESLData!E$1:E$9960,MATCH($A46,ESLData!$B$1:$B$9960,0))</f>
        <v>103445.49</v>
      </c>
      <c r="H46" s="107">
        <f>HLOOKUP("start",ESLData!F$1:F$9988,MATCH($A46,ESLData!$B$1:$B$9988,0))</f>
        <v>85496</v>
      </c>
      <c r="I46" s="107">
        <f>HLOOKUP("start",ESLData!H$1:H$9988,MATCH($A46,ESLData!$B$1:$B$9988,0))</f>
        <v>112024.2</v>
      </c>
    </row>
    <row r="47" spans="1:9" x14ac:dyDescent="0.2">
      <c r="A47" s="1">
        <v>38940</v>
      </c>
      <c r="C47" s="107">
        <f>HLOOKUP("start",ESLData!E$1:E$9960,MATCH($A47,ESLData!$B$1:$B$9960,0))</f>
        <v>2758.73</v>
      </c>
      <c r="H47" s="107">
        <f>HLOOKUP("start",ESLData!F$1:F$9988,MATCH($A47,ESLData!$B$1:$B$9988,0))</f>
        <v>0</v>
      </c>
      <c r="I47" s="107">
        <f>HLOOKUP("start",ESLData!H$1:H$9988,MATCH($A47,ESLData!$B$1:$B$9988,0))</f>
        <v>13470.99</v>
      </c>
    </row>
    <row r="48" spans="1:9" x14ac:dyDescent="0.2">
      <c r="A48" s="1">
        <v>39030</v>
      </c>
      <c r="C48" s="107">
        <f>HLOOKUP("start",ESLData!E$1:E$9960,MATCH($A48,ESLData!$B$1:$B$9960,0))</f>
        <v>51571.28</v>
      </c>
      <c r="H48" s="107">
        <f>HLOOKUP("start",ESLData!F$1:F$9988,MATCH($A48,ESLData!$B$1:$B$9988,0))</f>
        <v>49734</v>
      </c>
      <c r="I48" s="107">
        <f>HLOOKUP("start",ESLData!H$1:H$9988,MATCH($A48,ESLData!$B$1:$B$9988,0))</f>
        <v>41875.9</v>
      </c>
    </row>
    <row r="49" spans="1:9" x14ac:dyDescent="0.2">
      <c r="A49" s="1">
        <v>39080</v>
      </c>
      <c r="C49" s="107">
        <f>HLOOKUP("start",ESLData!E$1:E$9960,MATCH($A49,ESLData!$B$1:$B$9960,0))</f>
        <v>127561.23</v>
      </c>
      <c r="H49" s="107">
        <f>HLOOKUP("start",ESLData!F$1:F$9988,MATCH($A49,ESLData!$B$1:$B$9988,0))</f>
        <v>136110</v>
      </c>
      <c r="I49" s="107">
        <f>HLOOKUP("start",ESLData!H$1:H$9988,MATCH($A49,ESLData!$B$1:$B$9988,0))</f>
        <v>110321.46</v>
      </c>
    </row>
    <row r="50" spans="1:9" x14ac:dyDescent="0.2">
      <c r="A50" s="1">
        <v>39130</v>
      </c>
      <c r="C50" s="107">
        <f>HLOOKUP("start",ESLData!E$1:E$9960,MATCH($A50,ESLData!$B$1:$B$9960,0))</f>
        <v>21070.13</v>
      </c>
      <c r="H50" s="107">
        <f>HLOOKUP("start",ESLData!F$1:F$9988,MATCH($A50,ESLData!$B$1:$B$9988,0))</f>
        <v>24867</v>
      </c>
      <c r="I50" s="107">
        <f>HLOOKUP("start",ESLData!H$1:H$9988,MATCH($A50,ESLData!$B$1:$B$9988,0))</f>
        <v>23085.52</v>
      </c>
    </row>
    <row r="51" spans="1:9" x14ac:dyDescent="0.2">
      <c r="A51" s="1">
        <v>39180</v>
      </c>
      <c r="C51" s="107">
        <f>HLOOKUP("start",ESLData!E$1:E$9960,MATCH($A51,ESLData!$B$1:$B$9960,0))</f>
        <v>66285.31</v>
      </c>
      <c r="H51" s="107">
        <f>HLOOKUP("start",ESLData!F$1:F$9988,MATCH($A51,ESLData!$B$1:$B$9988,0))</f>
        <v>63380</v>
      </c>
      <c r="I51" s="107">
        <f>HLOOKUP("start",ESLData!H$1:H$9988,MATCH($A51,ESLData!$B$1:$B$9988,0))</f>
        <v>52942.06</v>
      </c>
    </row>
    <row r="52" spans="1:9" x14ac:dyDescent="0.2">
      <c r="A52" s="1">
        <v>39230</v>
      </c>
      <c r="C52" s="107">
        <f>HLOOKUP("start",ESLData!E$1:E$9960,MATCH($A52,ESLData!$B$1:$B$9960,0))</f>
        <v>33658.269999999997</v>
      </c>
      <c r="H52" s="107">
        <f>HLOOKUP("start",ESLData!F$1:F$9988,MATCH($A52,ESLData!$B$1:$B$9988,0))</f>
        <v>35167</v>
      </c>
      <c r="I52" s="107">
        <f>HLOOKUP("start",ESLData!H$1:H$9988,MATCH($A52,ESLData!$B$1:$B$9988,0))</f>
        <v>36557.629999999997</v>
      </c>
    </row>
    <row r="53" spans="1:9" x14ac:dyDescent="0.2">
      <c r="A53" s="1">
        <v>39280</v>
      </c>
      <c r="C53" s="107">
        <f>HLOOKUP("start",ESLData!E$1:E$9960,MATCH($A53,ESLData!$B$1:$B$9960,0))</f>
        <v>45452.56</v>
      </c>
      <c r="H53" s="107">
        <f>HLOOKUP("start",ESLData!F$1:F$9988,MATCH($A53,ESLData!$B$1:$B$9988,0))</f>
        <v>49734</v>
      </c>
      <c r="I53" s="107">
        <f>HLOOKUP("start",ESLData!H$1:H$9988,MATCH($A53,ESLData!$B$1:$B$9988,0))</f>
        <v>33655.08</v>
      </c>
    </row>
    <row r="54" spans="1:9" x14ac:dyDescent="0.2">
      <c r="A54" s="1">
        <v>39330</v>
      </c>
      <c r="C54" s="107">
        <f>HLOOKUP("start",ESLData!E$1:E$9960,MATCH($A54,ESLData!$B$1:$B$9960,0))</f>
        <v>56100.73</v>
      </c>
      <c r="H54" s="107">
        <f>HLOOKUP("start",ESLData!F$1:F$9988,MATCH($A54,ESLData!$B$1:$B$9988,0))</f>
        <v>53364</v>
      </c>
      <c r="I54" s="107">
        <f>HLOOKUP("start",ESLData!H$1:H$9988,MATCH($A54,ESLData!$B$1:$B$9988,0))</f>
        <v>47529.86</v>
      </c>
    </row>
    <row r="55" spans="1:9" x14ac:dyDescent="0.2">
      <c r="A55" s="1">
        <v>39380</v>
      </c>
      <c r="C55" s="107">
        <f>HLOOKUP("start",ESLData!E$1:E$9960,MATCH($A55,ESLData!$B$1:$B$9960,0))</f>
        <v>52846.55</v>
      </c>
      <c r="H55" s="107">
        <f>HLOOKUP("start",ESLData!F$1:F$9988,MATCH($A55,ESLData!$B$1:$B$9988,0))</f>
        <v>49568</v>
      </c>
      <c r="I55" s="107">
        <f>HLOOKUP("start",ESLData!H$1:H$9988,MATCH($A55,ESLData!$B$1:$B$9988,0))</f>
        <v>50055.05</v>
      </c>
    </row>
    <row r="56" spans="1:9" x14ac:dyDescent="0.2">
      <c r="A56" s="1">
        <v>39500</v>
      </c>
      <c r="C56" s="107">
        <f>HLOOKUP("start",ESLData!E$1:E$9960,MATCH($A56,ESLData!$B$1:$B$9960,0))</f>
        <v>50203.54</v>
      </c>
      <c r="H56" s="107">
        <f>HLOOKUP("start",ESLData!F$1:F$9988,MATCH($A56,ESLData!$B$1:$B$9988,0))</f>
        <v>39620</v>
      </c>
      <c r="I56" s="107">
        <f>HLOOKUP("start",ESLData!H$1:H$9988,MATCH($A56,ESLData!$B$1:$B$9988,0))</f>
        <v>46771.26</v>
      </c>
    </row>
    <row r="57" spans="1:9" x14ac:dyDescent="0.2">
      <c r="A57" s="1">
        <v>46060</v>
      </c>
      <c r="C57" s="107">
        <f>HLOOKUP("start",ESLData!E$1:E$9960,MATCH($A57,ESLData!$B$1:$B$9960,0))</f>
        <v>32628.799999999999</v>
      </c>
      <c r="H57" s="107">
        <f>HLOOKUP("start",ESLData!F$1:F$9988,MATCH($A57,ESLData!$B$1:$B$9988,0))</f>
        <v>23000</v>
      </c>
      <c r="I57" s="107">
        <f>HLOOKUP("start",ESLData!H$1:H$9988,MATCH($A57,ESLData!$B$1:$B$9988,0))</f>
        <v>50113.85</v>
      </c>
    </row>
    <row r="58" spans="1:9" x14ac:dyDescent="0.2">
      <c r="A58" s="16">
        <v>46860</v>
      </c>
      <c r="C58" s="107">
        <f>HLOOKUP("start",ESLData!E$1:E$9960,MATCH($A58,ESLData!$B$1:$B$9960,0))</f>
        <v>276446.63</v>
      </c>
      <c r="H58" s="107">
        <f>HLOOKUP("start",ESLData!F$1:F$9988,MATCH($A58,ESLData!$B$1:$B$9988,0))</f>
        <v>259140</v>
      </c>
      <c r="I58" s="107">
        <f>HLOOKUP("start",ESLData!H$1:H$9988,MATCH($A58,ESLData!$B$1:$B$9988,0))</f>
        <v>261519.06</v>
      </c>
    </row>
    <row r="59" spans="1:9" x14ac:dyDescent="0.2">
      <c r="A59" s="1">
        <v>46888</v>
      </c>
      <c r="C59" s="107">
        <f>HLOOKUP("start",ESLData!E$1:E$9960,MATCH($A59,ESLData!$B$1:$B$9960,0))</f>
        <v>0</v>
      </c>
      <c r="H59" s="107">
        <f>HLOOKUP("start",ESLData!F$1:F$9988,MATCH($A59,ESLData!$B$1:$B$9988,0))</f>
        <v>0</v>
      </c>
      <c r="I59" s="107">
        <f>HLOOKUP("start",ESLData!H$1:H$9988,MATCH($A59,ESLData!$B$1:$B$9988,0))</f>
        <v>0</v>
      </c>
    </row>
    <row r="60" spans="1:9" x14ac:dyDescent="0.2">
      <c r="A60" s="1">
        <v>57420</v>
      </c>
      <c r="C60" s="107">
        <f>HLOOKUP("start",ESLData!E$1:E$9960,MATCH($A60,ESLData!$B$1:$B$9960,0))</f>
        <v>196861.98</v>
      </c>
      <c r="H60" s="107">
        <f>HLOOKUP("start",ESLData!F$1:F$9988,MATCH($A60,ESLData!$B$1:$B$9988,0))</f>
        <v>181550</v>
      </c>
      <c r="I60" s="107">
        <f>HLOOKUP("start",ESLData!H$1:H$9988,MATCH($A60,ESLData!$B$1:$B$9988,0))</f>
        <v>160410.44</v>
      </c>
    </row>
    <row r="61" spans="1:9" x14ac:dyDescent="0.2">
      <c r="A61" s="1">
        <v>60000</v>
      </c>
      <c r="C61" s="107">
        <f>HLOOKUP("start",ESLData!E$1:E$9960,MATCH($A61,ESLData!$B$1:$B$9960,0))</f>
        <v>1019405.8</v>
      </c>
      <c r="H61" s="107">
        <f>HLOOKUP("start",ESLData!F$1:F$9988,MATCH($A61,ESLData!$B$1:$B$9988,0))</f>
        <v>1005151</v>
      </c>
      <c r="I61" s="107">
        <f>HLOOKUP("start",ESLData!H$1:H$9988,MATCH($A61,ESLData!$B$1:$B$9988,0))</f>
        <v>887865.12</v>
      </c>
    </row>
    <row r="62" spans="1:9" x14ac:dyDescent="0.2">
      <c r="A62" s="1">
        <v>60250</v>
      </c>
      <c r="C62" s="107">
        <f>HLOOKUP("start",ESLData!E$1:E$9960,MATCH($A62,ESLData!$B$1:$B$9960,0))</f>
        <v>47721.84</v>
      </c>
      <c r="H62" s="107">
        <f>HLOOKUP("start",ESLData!F$1:F$9988,MATCH($A62,ESLData!$B$1:$B$9988,0))</f>
        <v>44418</v>
      </c>
      <c r="I62" s="107">
        <f>HLOOKUP("start",ESLData!H$1:H$9988,MATCH($A62,ESLData!$B$1:$B$9988,0))</f>
        <v>40819.21</v>
      </c>
    </row>
    <row r="63" spans="1:9" x14ac:dyDescent="0.2">
      <c r="A63" s="1">
        <v>63500</v>
      </c>
      <c r="C63" s="107">
        <f>HLOOKUP("start",ESLData!E$1:E$9960,MATCH($A63,ESLData!$B$1:$B$9960,0))</f>
        <v>41672.730000000003</v>
      </c>
      <c r="H63" s="107">
        <f>HLOOKUP("start",ESLData!F$1:F$9988,MATCH($A63,ESLData!$B$1:$B$9988,0))</f>
        <v>38477</v>
      </c>
      <c r="I63" s="107">
        <f>HLOOKUP("start",ESLData!H$1:H$9988,MATCH($A63,ESLData!$B$1:$B$9988,0))</f>
        <v>37865.410000000003</v>
      </c>
    </row>
    <row r="64" spans="1:9" x14ac:dyDescent="0.2">
      <c r="A64" s="1">
        <v>61800</v>
      </c>
      <c r="C64" s="107">
        <f>HLOOKUP("start",ESLData!E$1:E$9960,MATCH($A64,ESLData!$B$1:$B$9960,0))</f>
        <v>12.91</v>
      </c>
      <c r="H64" s="107">
        <f>HLOOKUP("start",ESLData!F$1:F$9988,MATCH($A64,ESLData!$B$1:$B$9988,0))</f>
        <v>10000</v>
      </c>
      <c r="I64" s="107">
        <f>HLOOKUP("start",ESLData!H$1:H$9988,MATCH($A64,ESLData!$B$1:$B$9988,0))</f>
        <v>16.43</v>
      </c>
    </row>
    <row r="65" spans="1:9" x14ac:dyDescent="0.2">
      <c r="A65" s="1">
        <v>62500</v>
      </c>
      <c r="C65" s="107">
        <f>HLOOKUP("start",ESLData!E$1:E$9960,MATCH($A65,ESLData!$B$1:$B$9960,0))</f>
        <v>78746.740000000005</v>
      </c>
      <c r="H65" s="107">
        <f>HLOOKUP("start",ESLData!F$1:F$9988,MATCH($A65,ESLData!$B$1:$B$9988,0))</f>
        <v>70211</v>
      </c>
      <c r="I65" s="107">
        <f>HLOOKUP("start",ESLData!H$1:H$9988,MATCH($A65,ESLData!$B$1:$B$9988,0))</f>
        <v>79598.45</v>
      </c>
    </row>
    <row r="66" spans="1:9" x14ac:dyDescent="0.2">
      <c r="A66" s="1">
        <v>30380</v>
      </c>
      <c r="C66" s="107">
        <f>HLOOKUP("start",ESLData!E$1:E$9960,MATCH($A66,ESLData!$B$1:$B$9960,0))</f>
        <v>13679767</v>
      </c>
      <c r="E66" s="108">
        <f>SUM(E6:E65)</f>
        <v>13482654.180000002</v>
      </c>
      <c r="F66" t="s">
        <v>99</v>
      </c>
      <c r="G66" t="s">
        <v>562</v>
      </c>
      <c r="H66" s="107">
        <f>HLOOKUP("start",ESLData!F$1:F$9988,MATCH($A66,ESLData!$B$1:$B$9988,0))</f>
        <v>12500000</v>
      </c>
      <c r="I66" s="107">
        <f>HLOOKUP("start",ESLData!H$1:H$9988,MATCH($A66,ESLData!$B$1:$B$9988,0))</f>
        <v>12369060</v>
      </c>
    </row>
    <row r="67" spans="1:9" x14ac:dyDescent="0.2">
      <c r="C67" s="108">
        <f>SUM(C7:C66)</f>
        <v>18094900.100000001</v>
      </c>
      <c r="E67" s="16" t="s">
        <v>946</v>
      </c>
      <c r="H67" s="108">
        <f>SUM(H7:H66)</f>
        <v>16870134</v>
      </c>
      <c r="I67" s="108">
        <f>SUM(I7:I66)</f>
        <v>16448724.609999999</v>
      </c>
    </row>
    <row r="68" spans="1:9" x14ac:dyDescent="0.2">
      <c r="C68" s="108"/>
      <c r="E68" s="16"/>
      <c r="H68" s="108"/>
      <c r="I68" s="108"/>
    </row>
    <row r="69" spans="1:9" x14ac:dyDescent="0.2">
      <c r="C69" s="108"/>
      <c r="E69" s="16"/>
      <c r="H69" s="108"/>
      <c r="I69" s="108"/>
    </row>
    <row r="70" spans="1:9" x14ac:dyDescent="0.2">
      <c r="A70" t="s">
        <v>200</v>
      </c>
      <c r="C70" s="4">
        <f>+Notes!F50</f>
        <v>22623</v>
      </c>
    </row>
    <row r="71" spans="1:9" x14ac:dyDescent="0.2">
      <c r="A71" t="s">
        <v>201</v>
      </c>
      <c r="C71" s="4">
        <f>+Notes!F118</f>
        <v>553204</v>
      </c>
      <c r="E71" s="16" t="s">
        <v>947</v>
      </c>
    </row>
    <row r="72" spans="1:9" x14ac:dyDescent="0.2">
      <c r="A72" t="s">
        <v>202</v>
      </c>
      <c r="C72" s="4">
        <f>+Notes!F137</f>
        <v>196862</v>
      </c>
    </row>
    <row r="73" spans="1:9" x14ac:dyDescent="0.2">
      <c r="A73" t="s">
        <v>673</v>
      </c>
      <c r="C73" s="4" t="e">
        <f>+Notes!#REF!</f>
        <v>#REF!</v>
      </c>
    </row>
    <row r="74" spans="1:9" x14ac:dyDescent="0.2">
      <c r="A74" t="s">
        <v>203</v>
      </c>
      <c r="C74" s="4" t="e">
        <f>+Notes!#REF!</f>
        <v>#REF!</v>
      </c>
    </row>
    <row r="75" spans="1:9" x14ac:dyDescent="0.2">
      <c r="A75" t="s">
        <v>205</v>
      </c>
      <c r="C75" s="4" t="e">
        <f>+Notes!#REF!</f>
        <v>#REF!</v>
      </c>
    </row>
    <row r="76" spans="1:9" x14ac:dyDescent="0.2">
      <c r="A76" t="s">
        <v>206</v>
      </c>
      <c r="C76" s="4" t="e">
        <f>+Notes!#REF!</f>
        <v>#REF!</v>
      </c>
    </row>
    <row r="77" spans="1:9" x14ac:dyDescent="0.2">
      <c r="A77" t="s">
        <v>679</v>
      </c>
      <c r="C77" s="4" t="e">
        <f>+Notes!#REF!</f>
        <v>#REF!</v>
      </c>
    </row>
    <row r="78" spans="1:9" x14ac:dyDescent="0.2">
      <c r="A78" t="s">
        <v>204</v>
      </c>
      <c r="C78" s="108">
        <f>SUM(C7:C13)</f>
        <v>109831.54000000001</v>
      </c>
    </row>
    <row r="79" spans="1:9" x14ac:dyDescent="0.2">
      <c r="C79" s="108"/>
      <c r="D79" t="s">
        <v>209</v>
      </c>
    </row>
    <row r="80" spans="1:9" x14ac:dyDescent="0.2">
      <c r="C80" s="4" t="e">
        <f>SUM(C70:C78)</f>
        <v>#REF!</v>
      </c>
      <c r="D80">
        <f>+D4+D6</f>
        <v>12043976.190000001</v>
      </c>
      <c r="E80" s="64" t="e">
        <f>+C80-D80</f>
        <v>#REF!</v>
      </c>
    </row>
    <row r="81" spans="3:6" x14ac:dyDescent="0.2">
      <c r="E81" s="64">
        <f>+C43+C25</f>
        <v>78999.429999999993</v>
      </c>
      <c r="F81" t="s">
        <v>95</v>
      </c>
    </row>
    <row r="82" spans="3:6" x14ac:dyDescent="0.2">
      <c r="E82" s="64">
        <f>+C46+C47+C45</f>
        <v>116365.41</v>
      </c>
      <c r="F82" t="s">
        <v>96</v>
      </c>
    </row>
    <row r="83" spans="3:6" x14ac:dyDescent="0.2">
      <c r="E83" s="64">
        <f>+C18</f>
        <v>0</v>
      </c>
      <c r="F83" t="s">
        <v>87</v>
      </c>
    </row>
    <row r="84" spans="3:6" x14ac:dyDescent="0.2">
      <c r="E84" s="64">
        <f>+C39</f>
        <v>14522.3</v>
      </c>
      <c r="F84" t="s">
        <v>207</v>
      </c>
    </row>
    <row r="85" spans="3:6" x14ac:dyDescent="0.2">
      <c r="E85" s="64">
        <f>+C27+C30+C33+C61+C26+C62</f>
        <v>1193921.0900000001</v>
      </c>
      <c r="F85" t="s">
        <v>97</v>
      </c>
    </row>
    <row r="86" spans="3:6" x14ac:dyDescent="0.2">
      <c r="E86" s="64">
        <f>+C64</f>
        <v>12.91</v>
      </c>
      <c r="F86" t="s">
        <v>98</v>
      </c>
    </row>
    <row r="87" spans="3:6" hidden="1" x14ac:dyDescent="0.2">
      <c r="E87" s="64">
        <v>0</v>
      </c>
      <c r="F87" t="s">
        <v>208</v>
      </c>
    </row>
    <row r="88" spans="3:6" hidden="1" x14ac:dyDescent="0.2">
      <c r="E88" s="64">
        <v>0</v>
      </c>
      <c r="F88" t="s">
        <v>948</v>
      </c>
    </row>
    <row r="89" spans="3:6" x14ac:dyDescent="0.2">
      <c r="E89" s="109" t="e">
        <f>SUM(E80:E88)</f>
        <v>#REF!</v>
      </c>
    </row>
    <row r="90" spans="3:6" x14ac:dyDescent="0.2">
      <c r="C90" s="16" t="s">
        <v>945</v>
      </c>
      <c r="E90">
        <f>-'Codes allocation'!C952</f>
        <v>0</v>
      </c>
      <c r="F90">
        <v>46861</v>
      </c>
    </row>
    <row r="91" spans="3:6" x14ac:dyDescent="0.2">
      <c r="C91" t="s">
        <v>79</v>
      </c>
      <c r="E91">
        <v>-7574</v>
      </c>
      <c r="F91">
        <v>46060</v>
      </c>
    </row>
    <row r="92" spans="3:6" x14ac:dyDescent="0.2">
      <c r="C92" t="s">
        <v>80</v>
      </c>
      <c r="E92" t="e">
        <f>-'Codes allocation'!C953-'Codes allocation'!C883-'Codes allocation'!#REF!-'Codes allocation'!C954-'Codes allocation'!C962</f>
        <v>#REF!</v>
      </c>
      <c r="F92" s="134" t="s">
        <v>81</v>
      </c>
    </row>
    <row r="93" spans="3:6" x14ac:dyDescent="0.2">
      <c r="C93" t="s">
        <v>83</v>
      </c>
      <c r="E93">
        <f>-'Codes allocation'!C1013-'Codes allocation'!C1014</f>
        <v>-177367.21</v>
      </c>
      <c r="F93" s="133" t="s">
        <v>82</v>
      </c>
    </row>
    <row r="94" spans="3:6" x14ac:dyDescent="0.2">
      <c r="C94" t="s">
        <v>84</v>
      </c>
      <c r="E94">
        <f>-'Codes allocation'!C1051-'Codes allocation'!C697-'Codes allocation'!C539</f>
        <v>-174.5</v>
      </c>
      <c r="F94" s="133" t="s">
        <v>85</v>
      </c>
    </row>
    <row r="95" spans="3:6" x14ac:dyDescent="0.2">
      <c r="C95" t="s">
        <v>89</v>
      </c>
      <c r="E95">
        <f>-'Codes allocation'!C1084-'Codes allocation'!C1086</f>
        <v>0</v>
      </c>
      <c r="F95" s="133" t="s">
        <v>88</v>
      </c>
    </row>
    <row r="96" spans="3:6" x14ac:dyDescent="0.2">
      <c r="C96" t="s">
        <v>90</v>
      </c>
      <c r="E96">
        <f>-'Codes allocation'!C769</f>
        <v>-3149.33</v>
      </c>
      <c r="F96" s="133">
        <v>33070</v>
      </c>
    </row>
    <row r="97" spans="3:6" x14ac:dyDescent="0.2">
      <c r="C97" t="s">
        <v>91</v>
      </c>
      <c r="E97" t="e">
        <f>-'Codes allocation'!C229-'Codes allocation'!#REF!</f>
        <v>#REF!</v>
      </c>
      <c r="F97" s="133" t="s">
        <v>92</v>
      </c>
    </row>
    <row r="98" spans="3:6" x14ac:dyDescent="0.2">
      <c r="E98">
        <v>-10679</v>
      </c>
      <c r="F98" s="138" t="s">
        <v>949</v>
      </c>
    </row>
    <row r="99" spans="3:6" x14ac:dyDescent="0.2">
      <c r="C99" t="s">
        <v>93</v>
      </c>
      <c r="E99" t="e">
        <f>-'Codes allocation'!C268-'Codes allocation'!C297-'Codes allocation'!#REF!</f>
        <v>#REF!</v>
      </c>
      <c r="F99" s="133" t="s">
        <v>94</v>
      </c>
    </row>
    <row r="100" spans="3:6" x14ac:dyDescent="0.2">
      <c r="E100" s="4" t="e">
        <f>SUM(E89:E99)</f>
        <v>#REF!</v>
      </c>
      <c r="F100" t="s">
        <v>100</v>
      </c>
    </row>
    <row r="102" spans="3:6" x14ac:dyDescent="0.2">
      <c r="E102" s="64"/>
    </row>
  </sheetData>
  <phoneticPr fontId="50"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N1224"/>
  <sheetViews>
    <sheetView zoomScaleNormal="100" workbookViewId="0">
      <pane ySplit="1" topLeftCell="A1067" activePane="bottomLeft" state="frozen"/>
      <selection activeCell="H18" sqref="H18"/>
      <selection pane="bottomLeft" activeCell="E1078" activeCellId="1" sqref="E1076 E1078"/>
    </sheetView>
  </sheetViews>
  <sheetFormatPr defaultRowHeight="15" customHeight="1" x14ac:dyDescent="0.2"/>
  <cols>
    <col min="2" max="2" width="8.7109375" customWidth="1"/>
    <col min="3" max="3" width="44.42578125" bestFit="1" customWidth="1"/>
    <col min="5" max="5" width="11" customWidth="1"/>
    <col min="8" max="8" width="12.42578125" customWidth="1"/>
  </cols>
  <sheetData>
    <row r="1" spans="1:14" ht="12.75" x14ac:dyDescent="0.2">
      <c r="A1" t="s">
        <v>14</v>
      </c>
      <c r="B1" t="s">
        <v>647</v>
      </c>
      <c r="C1" t="s">
        <v>784</v>
      </c>
      <c r="D1" t="s">
        <v>969</v>
      </c>
      <c r="E1" t="s">
        <v>970</v>
      </c>
      <c r="F1" t="s">
        <v>607</v>
      </c>
      <c r="G1" t="s">
        <v>971</v>
      </c>
      <c r="H1" t="s">
        <v>972</v>
      </c>
      <c r="I1" t="s">
        <v>1093</v>
      </c>
      <c r="J1" t="s">
        <v>1094</v>
      </c>
      <c r="K1" t="s">
        <v>1095</v>
      </c>
      <c r="L1" t="s">
        <v>1096</v>
      </c>
      <c r="M1" t="s">
        <v>1097</v>
      </c>
      <c r="N1" t="s">
        <v>1098</v>
      </c>
    </row>
    <row r="2" spans="1:14" ht="12.75" x14ac:dyDescent="0.2">
      <c r="A2">
        <v>6952</v>
      </c>
      <c r="B2">
        <v>100</v>
      </c>
      <c r="C2" t="s">
        <v>878</v>
      </c>
      <c r="D2">
        <v>0</v>
      </c>
      <c r="E2">
        <v>0</v>
      </c>
      <c r="F2">
        <v>0</v>
      </c>
      <c r="G2">
        <v>0</v>
      </c>
      <c r="H2">
        <v>0</v>
      </c>
      <c r="I2">
        <v>0</v>
      </c>
      <c r="J2">
        <v>0</v>
      </c>
      <c r="K2">
        <v>0</v>
      </c>
      <c r="L2">
        <v>0</v>
      </c>
      <c r="M2">
        <v>0</v>
      </c>
      <c r="N2">
        <v>0</v>
      </c>
    </row>
    <row r="3" spans="1:14" ht="12.75" x14ac:dyDescent="0.2">
      <c r="A3">
        <v>6952</v>
      </c>
      <c r="B3" s="342">
        <v>104</v>
      </c>
      <c r="C3" t="s">
        <v>244</v>
      </c>
      <c r="D3">
        <v>-138341.70000000001</v>
      </c>
      <c r="E3">
        <v>-2071045.54</v>
      </c>
      <c r="F3">
        <v>-1088533</v>
      </c>
      <c r="G3">
        <v>-1235301.51</v>
      </c>
      <c r="H3">
        <v>-1235301.51</v>
      </c>
      <c r="I3">
        <v>-1088533</v>
      </c>
      <c r="J3">
        <v>-138341.70000000001</v>
      </c>
      <c r="K3">
        <v>0</v>
      </c>
      <c r="L3">
        <v>0</v>
      </c>
      <c r="M3">
        <v>0</v>
      </c>
      <c r="N3">
        <v>0</v>
      </c>
    </row>
    <row r="4" spans="1:14" ht="12.75" x14ac:dyDescent="0.2">
      <c r="A4">
        <v>6952</v>
      </c>
      <c r="B4">
        <v>123</v>
      </c>
      <c r="C4" t="s">
        <v>245</v>
      </c>
      <c r="D4">
        <v>0</v>
      </c>
      <c r="E4">
        <v>0</v>
      </c>
      <c r="F4">
        <v>0</v>
      </c>
      <c r="G4">
        <v>0</v>
      </c>
      <c r="H4">
        <v>0</v>
      </c>
      <c r="I4">
        <v>0</v>
      </c>
      <c r="J4">
        <v>0</v>
      </c>
      <c r="K4">
        <v>0</v>
      </c>
      <c r="L4">
        <v>0</v>
      </c>
      <c r="M4">
        <v>0</v>
      </c>
      <c r="N4">
        <v>0</v>
      </c>
    </row>
    <row r="5" spans="1:14" ht="12.75" x14ac:dyDescent="0.2">
      <c r="A5">
        <v>6952</v>
      </c>
      <c r="B5" s="342">
        <v>129</v>
      </c>
      <c r="C5" t="s">
        <v>1099</v>
      </c>
      <c r="D5">
        <v>-130036</v>
      </c>
      <c r="E5">
        <v>-147658.99</v>
      </c>
      <c r="F5">
        <v>0</v>
      </c>
      <c r="G5">
        <v>-399380.87</v>
      </c>
      <c r="H5">
        <v>-399380.87</v>
      </c>
      <c r="I5">
        <v>0</v>
      </c>
      <c r="J5">
        <v>-130036</v>
      </c>
      <c r="K5">
        <v>0</v>
      </c>
      <c r="L5">
        <v>0</v>
      </c>
      <c r="M5">
        <v>0</v>
      </c>
      <c r="N5">
        <v>0</v>
      </c>
    </row>
    <row r="6" spans="1:14" ht="12.75" x14ac:dyDescent="0.2">
      <c r="A6">
        <v>6952</v>
      </c>
      <c r="B6">
        <v>133</v>
      </c>
      <c r="C6" t="s">
        <v>1061</v>
      </c>
      <c r="D6">
        <v>0</v>
      </c>
      <c r="E6">
        <v>0</v>
      </c>
      <c r="F6">
        <v>0</v>
      </c>
      <c r="G6">
        <v>0</v>
      </c>
      <c r="H6">
        <v>0</v>
      </c>
      <c r="I6">
        <v>0</v>
      </c>
      <c r="J6">
        <v>0</v>
      </c>
      <c r="K6">
        <v>0</v>
      </c>
      <c r="L6">
        <v>0</v>
      </c>
      <c r="M6">
        <v>0</v>
      </c>
      <c r="N6">
        <v>0</v>
      </c>
    </row>
    <row r="7" spans="1:14" ht="12.75" x14ac:dyDescent="0.2">
      <c r="A7">
        <v>6952</v>
      </c>
      <c r="B7" s="342">
        <v>139</v>
      </c>
      <c r="C7" t="s">
        <v>1100</v>
      </c>
      <c r="D7">
        <v>0</v>
      </c>
      <c r="E7">
        <v>0</v>
      </c>
      <c r="F7">
        <v>0</v>
      </c>
      <c r="G7">
        <v>0</v>
      </c>
      <c r="H7">
        <v>0</v>
      </c>
      <c r="I7">
        <v>0</v>
      </c>
      <c r="J7">
        <v>0</v>
      </c>
      <c r="K7">
        <v>0</v>
      </c>
      <c r="L7">
        <v>0</v>
      </c>
      <c r="M7">
        <v>0</v>
      </c>
      <c r="N7">
        <v>0</v>
      </c>
    </row>
    <row r="8" spans="1:14" ht="12.75" x14ac:dyDescent="0.2">
      <c r="A8">
        <v>6952</v>
      </c>
      <c r="B8" s="342">
        <v>141</v>
      </c>
      <c r="C8" t="s">
        <v>1550</v>
      </c>
      <c r="D8">
        <v>0</v>
      </c>
      <c r="E8">
        <v>0</v>
      </c>
      <c r="F8">
        <v>0</v>
      </c>
      <c r="G8">
        <v>-16465.900000000001</v>
      </c>
      <c r="H8">
        <v>-16465.900000000001</v>
      </c>
      <c r="I8">
        <v>0</v>
      </c>
      <c r="J8">
        <v>0</v>
      </c>
      <c r="K8">
        <v>0</v>
      </c>
      <c r="L8">
        <v>0</v>
      </c>
      <c r="M8">
        <v>0</v>
      </c>
      <c r="N8">
        <v>0</v>
      </c>
    </row>
    <row r="9" spans="1:14" ht="12.75" x14ac:dyDescent="0.2">
      <c r="A9">
        <v>6952</v>
      </c>
      <c r="B9" s="342">
        <v>143</v>
      </c>
      <c r="C9" t="s">
        <v>1661</v>
      </c>
      <c r="D9">
        <v>-415599</v>
      </c>
      <c r="E9">
        <v>-415599</v>
      </c>
      <c r="F9">
        <v>0</v>
      </c>
      <c r="G9">
        <v>-488263</v>
      </c>
      <c r="H9">
        <v>-488263</v>
      </c>
      <c r="I9">
        <v>0</v>
      </c>
      <c r="J9">
        <v>-415599</v>
      </c>
      <c r="K9">
        <v>0</v>
      </c>
      <c r="L9">
        <v>0</v>
      </c>
      <c r="M9">
        <v>0</v>
      </c>
      <c r="N9">
        <v>0</v>
      </c>
    </row>
    <row r="10" spans="1:14" ht="12.75" x14ac:dyDescent="0.2">
      <c r="A10">
        <v>6952</v>
      </c>
      <c r="B10" s="342">
        <v>146</v>
      </c>
      <c r="C10" t="s">
        <v>242</v>
      </c>
      <c r="D10">
        <v>815</v>
      </c>
      <c r="E10">
        <v>815</v>
      </c>
      <c r="F10">
        <v>0</v>
      </c>
      <c r="G10">
        <v>-511.32</v>
      </c>
      <c r="H10">
        <v>-511.32</v>
      </c>
      <c r="I10">
        <v>0</v>
      </c>
      <c r="J10">
        <v>815</v>
      </c>
      <c r="K10">
        <v>815</v>
      </c>
      <c r="L10">
        <v>0</v>
      </c>
      <c r="M10">
        <v>0</v>
      </c>
      <c r="N10">
        <v>0</v>
      </c>
    </row>
    <row r="11" spans="1:14" ht="12.75" x14ac:dyDescent="0.2">
      <c r="A11">
        <v>6952</v>
      </c>
      <c r="B11" s="342">
        <v>148</v>
      </c>
      <c r="C11" t="s">
        <v>1036</v>
      </c>
      <c r="D11">
        <v>0</v>
      </c>
      <c r="E11">
        <v>0</v>
      </c>
      <c r="F11">
        <v>0</v>
      </c>
      <c r="G11">
        <v>0</v>
      </c>
      <c r="H11">
        <v>0</v>
      </c>
      <c r="I11">
        <v>0</v>
      </c>
      <c r="J11">
        <v>0</v>
      </c>
      <c r="K11">
        <v>0</v>
      </c>
      <c r="L11">
        <v>0</v>
      </c>
      <c r="M11">
        <v>0</v>
      </c>
      <c r="N11">
        <v>0</v>
      </c>
    </row>
    <row r="12" spans="1:14" ht="12.75" x14ac:dyDescent="0.2">
      <c r="A12">
        <v>6952</v>
      </c>
      <c r="B12" s="342">
        <v>149</v>
      </c>
      <c r="C12" t="s">
        <v>879</v>
      </c>
      <c r="D12">
        <v>-4125.59</v>
      </c>
      <c r="E12">
        <v>-38867.61</v>
      </c>
      <c r="F12">
        <v>0</v>
      </c>
      <c r="G12">
        <v>-36369.620000000003</v>
      </c>
      <c r="H12">
        <v>-36369.620000000003</v>
      </c>
      <c r="I12">
        <v>0</v>
      </c>
      <c r="J12">
        <v>-4125.59</v>
      </c>
      <c r="K12">
        <v>0</v>
      </c>
      <c r="L12">
        <v>0</v>
      </c>
      <c r="M12">
        <v>0</v>
      </c>
      <c r="N12">
        <v>0</v>
      </c>
    </row>
    <row r="13" spans="1:14" ht="12.75" x14ac:dyDescent="0.2">
      <c r="A13">
        <v>6952</v>
      </c>
      <c r="B13" s="342">
        <v>165</v>
      </c>
      <c r="C13" t="s">
        <v>15</v>
      </c>
      <c r="D13">
        <v>0</v>
      </c>
      <c r="E13">
        <v>-9273.3700000000008</v>
      </c>
      <c r="F13">
        <v>-10000</v>
      </c>
      <c r="G13">
        <v>-9031.2999999999993</v>
      </c>
      <c r="H13">
        <v>-9031.2999999999993</v>
      </c>
      <c r="I13">
        <v>-10000</v>
      </c>
      <c r="J13">
        <v>0</v>
      </c>
      <c r="K13">
        <v>0</v>
      </c>
      <c r="L13">
        <v>0</v>
      </c>
      <c r="M13">
        <v>0</v>
      </c>
      <c r="N13">
        <v>0</v>
      </c>
    </row>
    <row r="14" spans="1:14" ht="12.75" x14ac:dyDescent="0.2">
      <c r="A14">
        <v>6952</v>
      </c>
      <c r="B14" s="342">
        <v>179</v>
      </c>
      <c r="C14" t="s">
        <v>1478</v>
      </c>
      <c r="D14">
        <v>-779.13</v>
      </c>
      <c r="E14">
        <v>-779.13</v>
      </c>
      <c r="F14">
        <v>0</v>
      </c>
      <c r="G14">
        <v>-3766</v>
      </c>
      <c r="H14">
        <v>-3766</v>
      </c>
      <c r="I14">
        <v>0</v>
      </c>
      <c r="J14">
        <v>-779.13</v>
      </c>
      <c r="K14">
        <v>0</v>
      </c>
      <c r="L14">
        <v>0</v>
      </c>
      <c r="M14">
        <v>0</v>
      </c>
      <c r="N14">
        <v>0</v>
      </c>
    </row>
    <row r="15" spans="1:14" ht="12.75" x14ac:dyDescent="0.2">
      <c r="A15">
        <v>6952</v>
      </c>
      <c r="B15">
        <v>450</v>
      </c>
      <c r="C15" t="s">
        <v>1101</v>
      </c>
      <c r="D15">
        <v>0</v>
      </c>
      <c r="E15">
        <v>0</v>
      </c>
      <c r="F15">
        <v>0</v>
      </c>
      <c r="G15">
        <v>0</v>
      </c>
      <c r="H15">
        <v>0</v>
      </c>
      <c r="I15">
        <v>0</v>
      </c>
      <c r="J15">
        <v>0</v>
      </c>
      <c r="K15">
        <v>0</v>
      </c>
      <c r="L15">
        <v>0</v>
      </c>
      <c r="M15">
        <v>0</v>
      </c>
      <c r="N15">
        <v>0</v>
      </c>
    </row>
    <row r="16" spans="1:14" ht="12.75" x14ac:dyDescent="0.2">
      <c r="A16">
        <v>6952</v>
      </c>
      <c r="B16" s="342">
        <v>475</v>
      </c>
      <c r="C16" t="s">
        <v>1102</v>
      </c>
      <c r="D16">
        <v>-512.04</v>
      </c>
      <c r="E16">
        <v>-512.04</v>
      </c>
      <c r="F16">
        <v>0</v>
      </c>
      <c r="G16">
        <v>0</v>
      </c>
      <c r="H16">
        <v>0</v>
      </c>
      <c r="I16">
        <v>0</v>
      </c>
      <c r="J16">
        <v>-512.04</v>
      </c>
      <c r="K16">
        <v>0</v>
      </c>
      <c r="L16">
        <v>0</v>
      </c>
      <c r="M16">
        <v>0</v>
      </c>
      <c r="N16">
        <v>0</v>
      </c>
    </row>
    <row r="17" spans="1:14" ht="12.75" x14ac:dyDescent="0.2">
      <c r="A17">
        <v>6952</v>
      </c>
      <c r="B17" s="342">
        <v>480</v>
      </c>
      <c r="C17" t="s">
        <v>739</v>
      </c>
      <c r="D17">
        <v>0</v>
      </c>
      <c r="E17">
        <v>0</v>
      </c>
      <c r="F17">
        <v>0</v>
      </c>
      <c r="G17">
        <v>-20000</v>
      </c>
      <c r="H17">
        <v>-20000</v>
      </c>
      <c r="I17">
        <v>0</v>
      </c>
      <c r="J17">
        <v>0</v>
      </c>
      <c r="K17">
        <v>0</v>
      </c>
      <c r="L17">
        <v>0</v>
      </c>
      <c r="M17">
        <v>0</v>
      </c>
      <c r="N17">
        <v>0</v>
      </c>
    </row>
    <row r="18" spans="1:14" ht="12.75" x14ac:dyDescent="0.2">
      <c r="A18">
        <v>6952</v>
      </c>
      <c r="B18">
        <v>10000</v>
      </c>
      <c r="C18" t="s">
        <v>243</v>
      </c>
      <c r="D18">
        <v>0</v>
      </c>
      <c r="E18">
        <v>0</v>
      </c>
      <c r="F18">
        <v>0</v>
      </c>
      <c r="G18">
        <v>0</v>
      </c>
      <c r="H18">
        <v>0</v>
      </c>
      <c r="I18">
        <v>0</v>
      </c>
      <c r="J18">
        <v>0</v>
      </c>
      <c r="K18">
        <v>0</v>
      </c>
      <c r="L18">
        <v>0</v>
      </c>
      <c r="M18">
        <v>0</v>
      </c>
      <c r="N18">
        <v>0</v>
      </c>
    </row>
    <row r="19" spans="1:14" ht="12.75" x14ac:dyDescent="0.2">
      <c r="A19">
        <v>6952</v>
      </c>
      <c r="B19" s="342">
        <v>10190</v>
      </c>
      <c r="C19" t="s">
        <v>246</v>
      </c>
      <c r="D19">
        <v>-145784.85</v>
      </c>
      <c r="E19">
        <v>-1749418.19</v>
      </c>
      <c r="F19">
        <v>-1749418</v>
      </c>
      <c r="G19">
        <v>-1702597.82</v>
      </c>
      <c r="H19">
        <v>-1702597.82</v>
      </c>
      <c r="I19">
        <v>-1749418</v>
      </c>
      <c r="J19">
        <v>-145784.85</v>
      </c>
      <c r="K19">
        <v>0</v>
      </c>
      <c r="L19">
        <v>0</v>
      </c>
      <c r="M19">
        <v>0</v>
      </c>
      <c r="N19">
        <v>0</v>
      </c>
    </row>
    <row r="20" spans="1:14" ht="12.75" x14ac:dyDescent="0.2">
      <c r="A20">
        <v>6952</v>
      </c>
      <c r="B20" s="342">
        <v>10200</v>
      </c>
      <c r="C20" t="s">
        <v>16</v>
      </c>
      <c r="D20">
        <v>-9459.23</v>
      </c>
      <c r="E20">
        <v>-113510.77</v>
      </c>
      <c r="F20">
        <v>-348845</v>
      </c>
      <c r="G20">
        <v>-477628.96</v>
      </c>
      <c r="H20">
        <v>-477628.96</v>
      </c>
      <c r="I20">
        <v>-348845</v>
      </c>
      <c r="J20">
        <v>-9459.23</v>
      </c>
      <c r="K20">
        <v>0</v>
      </c>
      <c r="L20">
        <v>0</v>
      </c>
      <c r="M20">
        <v>0</v>
      </c>
      <c r="N20">
        <v>0</v>
      </c>
    </row>
    <row r="21" spans="1:14" ht="12.75" x14ac:dyDescent="0.2">
      <c r="A21">
        <v>6952</v>
      </c>
      <c r="B21" s="342">
        <v>10210</v>
      </c>
      <c r="C21" t="s">
        <v>17</v>
      </c>
      <c r="D21">
        <v>-100029.42</v>
      </c>
      <c r="E21">
        <v>-1200353.02</v>
      </c>
      <c r="F21">
        <v>-1200352</v>
      </c>
      <c r="G21">
        <v>-1030106.62</v>
      </c>
      <c r="H21">
        <v>-1030106.62</v>
      </c>
      <c r="I21">
        <v>-1200352</v>
      </c>
      <c r="J21">
        <v>-100029.42</v>
      </c>
      <c r="K21">
        <v>0</v>
      </c>
      <c r="L21">
        <v>0</v>
      </c>
      <c r="M21">
        <v>0</v>
      </c>
      <c r="N21">
        <v>0</v>
      </c>
    </row>
    <row r="22" spans="1:14" ht="12.75" x14ac:dyDescent="0.2">
      <c r="A22">
        <v>6952</v>
      </c>
      <c r="B22" s="342">
        <v>10240</v>
      </c>
      <c r="C22" t="s">
        <v>248</v>
      </c>
      <c r="D22">
        <v>-76053.11</v>
      </c>
      <c r="E22">
        <v>-912637.33</v>
      </c>
      <c r="F22">
        <v>-912628</v>
      </c>
      <c r="G22">
        <v>-885605.16</v>
      </c>
      <c r="H22">
        <v>-885605.16</v>
      </c>
      <c r="I22">
        <v>-912628</v>
      </c>
      <c r="J22">
        <v>-76053.11</v>
      </c>
      <c r="K22">
        <v>0</v>
      </c>
      <c r="L22">
        <v>0</v>
      </c>
      <c r="M22">
        <v>0</v>
      </c>
      <c r="N22">
        <v>0</v>
      </c>
    </row>
    <row r="23" spans="1:14" ht="12.75" x14ac:dyDescent="0.2">
      <c r="A23">
        <v>6952</v>
      </c>
      <c r="B23" s="342">
        <v>10241</v>
      </c>
      <c r="C23" t="s">
        <v>1551</v>
      </c>
      <c r="D23">
        <v>-37541.68</v>
      </c>
      <c r="E23">
        <v>-225249.98</v>
      </c>
      <c r="F23">
        <v>-225250</v>
      </c>
      <c r="G23">
        <v>-41666.959999999999</v>
      </c>
      <c r="H23">
        <v>-41666.959999999999</v>
      </c>
      <c r="I23">
        <v>-225250</v>
      </c>
      <c r="J23">
        <v>-37541.68</v>
      </c>
      <c r="K23">
        <v>0</v>
      </c>
      <c r="L23">
        <v>0</v>
      </c>
      <c r="M23">
        <v>0</v>
      </c>
      <c r="N23">
        <v>0</v>
      </c>
    </row>
    <row r="24" spans="1:14" ht="12.75" x14ac:dyDescent="0.2">
      <c r="A24">
        <v>6952</v>
      </c>
      <c r="B24" s="342">
        <v>10242</v>
      </c>
      <c r="C24" t="s">
        <v>1552</v>
      </c>
      <c r="D24">
        <v>-55677.75</v>
      </c>
      <c r="E24">
        <v>-668133.01</v>
      </c>
      <c r="F24">
        <v>-668133</v>
      </c>
      <c r="G24">
        <v>0</v>
      </c>
      <c r="H24">
        <v>0</v>
      </c>
      <c r="I24">
        <v>-668133</v>
      </c>
      <c r="J24">
        <v>-55677.75</v>
      </c>
      <c r="K24">
        <v>0</v>
      </c>
      <c r="L24">
        <v>0</v>
      </c>
      <c r="M24">
        <v>0</v>
      </c>
      <c r="N24">
        <v>0</v>
      </c>
    </row>
    <row r="25" spans="1:14" ht="12.75" x14ac:dyDescent="0.2">
      <c r="A25">
        <v>6952</v>
      </c>
      <c r="B25" s="342">
        <v>10282</v>
      </c>
      <c r="C25" t="s">
        <v>18</v>
      </c>
      <c r="D25">
        <v>-1415.36</v>
      </c>
      <c r="E25">
        <v>-16984.310000000001</v>
      </c>
      <c r="F25">
        <v>-17065</v>
      </c>
      <c r="G25">
        <v>-16528.68</v>
      </c>
      <c r="H25">
        <v>-16528.68</v>
      </c>
      <c r="I25">
        <v>-17065</v>
      </c>
      <c r="J25">
        <v>-1415.36</v>
      </c>
      <c r="K25">
        <v>0</v>
      </c>
      <c r="L25">
        <v>0</v>
      </c>
      <c r="M25">
        <v>0</v>
      </c>
      <c r="N25">
        <v>0</v>
      </c>
    </row>
    <row r="26" spans="1:14" ht="12.75" x14ac:dyDescent="0.2">
      <c r="A26">
        <v>6952</v>
      </c>
      <c r="B26" s="342">
        <v>10283</v>
      </c>
      <c r="C26" t="s">
        <v>19</v>
      </c>
      <c r="D26">
        <v>-53189.35</v>
      </c>
      <c r="E26">
        <v>-638272.19999999995</v>
      </c>
      <c r="F26">
        <v>-638273</v>
      </c>
      <c r="G26">
        <v>-621187.68000000005</v>
      </c>
      <c r="H26">
        <v>-621187.68000000005</v>
      </c>
      <c r="I26">
        <v>-638273</v>
      </c>
      <c r="J26">
        <v>-53189.35</v>
      </c>
      <c r="K26">
        <v>0</v>
      </c>
      <c r="L26">
        <v>0</v>
      </c>
      <c r="M26">
        <v>0</v>
      </c>
      <c r="N26">
        <v>0</v>
      </c>
    </row>
    <row r="27" spans="1:14" ht="12.75" x14ac:dyDescent="0.2">
      <c r="A27">
        <v>6952</v>
      </c>
      <c r="B27" s="342">
        <v>10288</v>
      </c>
      <c r="C27" t="s">
        <v>686</v>
      </c>
      <c r="D27">
        <v>-107973.17</v>
      </c>
      <c r="E27">
        <v>-1295677.71</v>
      </c>
      <c r="F27">
        <v>-1293055</v>
      </c>
      <c r="G27">
        <v>-1108328.6399999999</v>
      </c>
      <c r="H27">
        <v>-1108328.6399999999</v>
      </c>
      <c r="I27">
        <v>-1293055</v>
      </c>
      <c r="J27">
        <v>-107973.17</v>
      </c>
      <c r="K27">
        <v>0</v>
      </c>
      <c r="L27">
        <v>0</v>
      </c>
      <c r="M27">
        <v>0</v>
      </c>
      <c r="N27">
        <v>0</v>
      </c>
    </row>
    <row r="28" spans="1:14" ht="12.75" x14ac:dyDescent="0.2">
      <c r="A28">
        <v>6952</v>
      </c>
      <c r="B28" s="342">
        <v>10289</v>
      </c>
      <c r="C28" t="s">
        <v>953</v>
      </c>
      <c r="D28">
        <v>0</v>
      </c>
      <c r="E28">
        <v>0</v>
      </c>
      <c r="F28">
        <v>0</v>
      </c>
      <c r="G28">
        <v>0</v>
      </c>
      <c r="H28">
        <v>0</v>
      </c>
      <c r="I28">
        <v>0</v>
      </c>
      <c r="J28">
        <v>0</v>
      </c>
      <c r="K28">
        <v>0</v>
      </c>
      <c r="L28">
        <v>0</v>
      </c>
      <c r="M28">
        <v>0</v>
      </c>
      <c r="N28">
        <v>0</v>
      </c>
    </row>
    <row r="29" spans="1:14" ht="12.75" x14ac:dyDescent="0.2">
      <c r="A29">
        <v>6952</v>
      </c>
      <c r="B29" s="342">
        <v>10290</v>
      </c>
      <c r="C29" t="s">
        <v>249</v>
      </c>
      <c r="D29">
        <v>-1349993.35</v>
      </c>
      <c r="E29">
        <v>-13679767</v>
      </c>
      <c r="F29">
        <v>-12500000</v>
      </c>
      <c r="G29">
        <v>-12369060</v>
      </c>
      <c r="H29">
        <v>-12369060</v>
      </c>
      <c r="I29">
        <v>-12500000</v>
      </c>
      <c r="J29">
        <v>-1349993.35</v>
      </c>
      <c r="K29">
        <v>13457615.289999999</v>
      </c>
      <c r="L29">
        <v>0</v>
      </c>
      <c r="M29">
        <v>0</v>
      </c>
      <c r="N29">
        <v>0</v>
      </c>
    </row>
    <row r="30" spans="1:14" ht="12.75" x14ac:dyDescent="0.2">
      <c r="A30">
        <v>6952</v>
      </c>
      <c r="B30">
        <v>10299</v>
      </c>
      <c r="C30" t="s">
        <v>250</v>
      </c>
      <c r="D30">
        <v>0</v>
      </c>
      <c r="E30">
        <v>0</v>
      </c>
      <c r="F30">
        <v>0</v>
      </c>
      <c r="G30">
        <v>0</v>
      </c>
      <c r="H30">
        <v>0</v>
      </c>
      <c r="I30">
        <v>0</v>
      </c>
      <c r="J30">
        <v>0</v>
      </c>
      <c r="K30">
        <v>0</v>
      </c>
      <c r="L30">
        <v>0</v>
      </c>
      <c r="M30">
        <v>0</v>
      </c>
      <c r="N30">
        <v>0</v>
      </c>
    </row>
    <row r="31" spans="1:14" ht="12.75" x14ac:dyDescent="0.2">
      <c r="A31">
        <v>6952</v>
      </c>
      <c r="B31" s="342">
        <v>10300</v>
      </c>
      <c r="C31" t="s">
        <v>22</v>
      </c>
      <c r="D31">
        <v>0</v>
      </c>
      <c r="E31">
        <v>-1143200.03</v>
      </c>
      <c r="F31">
        <v>-1146654</v>
      </c>
      <c r="G31">
        <v>-1084396.08</v>
      </c>
      <c r="H31">
        <v>-1084396.08</v>
      </c>
      <c r="I31">
        <v>-1146654</v>
      </c>
      <c r="J31">
        <v>0</v>
      </c>
      <c r="K31">
        <v>0</v>
      </c>
      <c r="L31">
        <v>0</v>
      </c>
      <c r="M31">
        <v>0</v>
      </c>
      <c r="N31">
        <v>0</v>
      </c>
    </row>
    <row r="32" spans="1:14" ht="12.75" x14ac:dyDescent="0.2">
      <c r="A32">
        <v>6952</v>
      </c>
      <c r="B32" s="342">
        <v>10310</v>
      </c>
      <c r="C32" t="s">
        <v>23</v>
      </c>
      <c r="D32">
        <v>0</v>
      </c>
      <c r="E32">
        <v>0</v>
      </c>
      <c r="F32">
        <v>0</v>
      </c>
      <c r="G32">
        <v>0</v>
      </c>
      <c r="H32">
        <v>0</v>
      </c>
      <c r="I32">
        <v>0</v>
      </c>
      <c r="J32">
        <v>0</v>
      </c>
      <c r="K32">
        <v>0</v>
      </c>
      <c r="L32">
        <v>0</v>
      </c>
      <c r="M32">
        <v>0</v>
      </c>
      <c r="N32">
        <v>0</v>
      </c>
    </row>
    <row r="33" spans="1:14" ht="12.75" x14ac:dyDescent="0.2">
      <c r="A33">
        <v>6952</v>
      </c>
      <c r="B33" s="342">
        <v>10315</v>
      </c>
      <c r="C33" t="s">
        <v>24</v>
      </c>
      <c r="D33">
        <v>0</v>
      </c>
      <c r="E33">
        <v>0</v>
      </c>
      <c r="F33">
        <v>0</v>
      </c>
      <c r="G33">
        <v>0</v>
      </c>
      <c r="H33">
        <v>0</v>
      </c>
      <c r="I33">
        <v>0</v>
      </c>
      <c r="J33">
        <v>0</v>
      </c>
      <c r="K33">
        <v>0</v>
      </c>
      <c r="L33">
        <v>0</v>
      </c>
      <c r="M33">
        <v>0</v>
      </c>
      <c r="N33">
        <v>0</v>
      </c>
    </row>
    <row r="34" spans="1:14" ht="12.75" x14ac:dyDescent="0.2">
      <c r="A34">
        <v>6952</v>
      </c>
      <c r="B34" s="342">
        <v>10316</v>
      </c>
      <c r="C34" t="s">
        <v>25</v>
      </c>
      <c r="D34">
        <v>0</v>
      </c>
      <c r="E34">
        <v>0</v>
      </c>
      <c r="F34">
        <v>0</v>
      </c>
      <c r="G34">
        <v>0</v>
      </c>
      <c r="H34">
        <v>0</v>
      </c>
      <c r="I34">
        <v>0</v>
      </c>
      <c r="J34">
        <v>0</v>
      </c>
      <c r="K34">
        <v>0</v>
      </c>
      <c r="L34">
        <v>0</v>
      </c>
      <c r="M34">
        <v>0</v>
      </c>
      <c r="N34">
        <v>0</v>
      </c>
    </row>
    <row r="35" spans="1:14" ht="12.75" x14ac:dyDescent="0.2">
      <c r="A35">
        <v>6952</v>
      </c>
      <c r="B35" s="342">
        <v>10317</v>
      </c>
      <c r="C35" t="s">
        <v>251</v>
      </c>
      <c r="D35">
        <v>0</v>
      </c>
      <c r="E35">
        <v>0</v>
      </c>
      <c r="F35">
        <v>0</v>
      </c>
      <c r="G35">
        <v>0</v>
      </c>
      <c r="H35">
        <v>0</v>
      </c>
      <c r="I35">
        <v>0</v>
      </c>
      <c r="J35">
        <v>0</v>
      </c>
      <c r="K35">
        <v>0</v>
      </c>
      <c r="L35">
        <v>0</v>
      </c>
      <c r="M35">
        <v>0</v>
      </c>
      <c r="N35">
        <v>0</v>
      </c>
    </row>
    <row r="36" spans="1:14" ht="12.75" x14ac:dyDescent="0.2">
      <c r="A36">
        <v>6952</v>
      </c>
      <c r="B36" s="342">
        <v>10318</v>
      </c>
      <c r="C36" t="s">
        <v>26</v>
      </c>
      <c r="D36">
        <v>-15828.4</v>
      </c>
      <c r="E36">
        <v>-189940.8</v>
      </c>
      <c r="F36">
        <v>-189940</v>
      </c>
      <c r="G36">
        <v>-369511.24</v>
      </c>
      <c r="H36">
        <v>-369511.24</v>
      </c>
      <c r="I36">
        <v>-189940</v>
      </c>
      <c r="J36">
        <v>-15828.4</v>
      </c>
      <c r="K36">
        <v>0</v>
      </c>
      <c r="L36">
        <v>0</v>
      </c>
      <c r="M36">
        <v>0</v>
      </c>
      <c r="N36">
        <v>0</v>
      </c>
    </row>
    <row r="37" spans="1:14" ht="12.75" x14ac:dyDescent="0.2">
      <c r="A37">
        <v>6952</v>
      </c>
      <c r="B37">
        <v>10399</v>
      </c>
      <c r="C37" t="s">
        <v>252</v>
      </c>
      <c r="D37">
        <v>0</v>
      </c>
      <c r="E37">
        <v>0</v>
      </c>
      <c r="F37">
        <v>0</v>
      </c>
      <c r="G37">
        <v>0</v>
      </c>
      <c r="H37">
        <v>0</v>
      </c>
      <c r="I37">
        <v>0</v>
      </c>
      <c r="J37">
        <v>0</v>
      </c>
      <c r="K37">
        <v>0</v>
      </c>
      <c r="L37">
        <v>0</v>
      </c>
      <c r="M37">
        <v>0</v>
      </c>
      <c r="N37">
        <v>0</v>
      </c>
    </row>
    <row r="38" spans="1:14" ht="12.75" x14ac:dyDescent="0.2">
      <c r="A38">
        <v>6952</v>
      </c>
      <c r="B38" s="342">
        <v>10400</v>
      </c>
      <c r="C38" t="s">
        <v>253</v>
      </c>
      <c r="D38">
        <v>-16065.71</v>
      </c>
      <c r="E38">
        <v>-64449.55</v>
      </c>
      <c r="F38">
        <v>-77546</v>
      </c>
      <c r="G38">
        <v>-69419.8</v>
      </c>
      <c r="H38">
        <v>-69419.8</v>
      </c>
      <c r="I38">
        <v>-77546</v>
      </c>
      <c r="J38">
        <v>-16065.71</v>
      </c>
      <c r="K38">
        <v>0</v>
      </c>
      <c r="L38">
        <v>0</v>
      </c>
      <c r="M38">
        <v>0</v>
      </c>
      <c r="N38">
        <v>0</v>
      </c>
    </row>
    <row r="39" spans="1:14" ht="12.75" x14ac:dyDescent="0.2">
      <c r="A39">
        <v>6952</v>
      </c>
      <c r="B39" s="342">
        <v>10401</v>
      </c>
      <c r="C39" t="s">
        <v>1103</v>
      </c>
      <c r="D39">
        <v>-13069.6</v>
      </c>
      <c r="E39">
        <v>-50594.7</v>
      </c>
      <c r="F39">
        <v>0</v>
      </c>
      <c r="G39">
        <v>-77930.710000000006</v>
      </c>
      <c r="H39">
        <v>-77930.710000000006</v>
      </c>
      <c r="I39">
        <v>0</v>
      </c>
      <c r="J39">
        <v>-13069.6</v>
      </c>
      <c r="K39">
        <v>0</v>
      </c>
      <c r="L39">
        <v>0</v>
      </c>
      <c r="M39">
        <v>0</v>
      </c>
      <c r="N39">
        <v>0</v>
      </c>
    </row>
    <row r="40" spans="1:14" ht="12.75" x14ac:dyDescent="0.2">
      <c r="A40">
        <v>6952</v>
      </c>
      <c r="B40" s="342">
        <v>10405</v>
      </c>
      <c r="C40" t="s">
        <v>285</v>
      </c>
      <c r="D40">
        <v>-4775.6499999999996</v>
      </c>
      <c r="E40">
        <v>-14060.87</v>
      </c>
      <c r="F40">
        <v>-6000</v>
      </c>
      <c r="G40">
        <v>-9640</v>
      </c>
      <c r="H40">
        <v>-9640</v>
      </c>
      <c r="I40">
        <v>-6000</v>
      </c>
      <c r="J40">
        <v>-4775.6499999999996</v>
      </c>
      <c r="K40">
        <v>368.42</v>
      </c>
      <c r="L40">
        <v>0</v>
      </c>
      <c r="M40">
        <v>0</v>
      </c>
      <c r="N40">
        <v>0</v>
      </c>
    </row>
    <row r="41" spans="1:14" ht="12.75" x14ac:dyDescent="0.2">
      <c r="A41">
        <v>6952</v>
      </c>
      <c r="B41" s="342">
        <v>10410</v>
      </c>
      <c r="C41" t="s">
        <v>254</v>
      </c>
      <c r="D41">
        <v>-768.42</v>
      </c>
      <c r="E41">
        <v>-34299.660000000003</v>
      </c>
      <c r="F41">
        <v>0</v>
      </c>
      <c r="G41">
        <v>-28752.1</v>
      </c>
      <c r="H41">
        <v>-28752.1</v>
      </c>
      <c r="I41">
        <v>0</v>
      </c>
      <c r="J41">
        <v>-768.42</v>
      </c>
      <c r="K41">
        <v>1342.27</v>
      </c>
      <c r="L41">
        <v>0</v>
      </c>
      <c r="M41">
        <v>0</v>
      </c>
      <c r="N41">
        <v>0</v>
      </c>
    </row>
    <row r="42" spans="1:14" ht="12.75" x14ac:dyDescent="0.2">
      <c r="A42">
        <v>6952</v>
      </c>
      <c r="B42" s="342">
        <v>10420</v>
      </c>
      <c r="C42" t="s">
        <v>255</v>
      </c>
      <c r="D42">
        <v>0</v>
      </c>
      <c r="E42">
        <v>0</v>
      </c>
      <c r="F42">
        <v>0</v>
      </c>
      <c r="G42">
        <v>0</v>
      </c>
      <c r="H42">
        <v>0</v>
      </c>
      <c r="I42">
        <v>0</v>
      </c>
      <c r="J42">
        <v>0</v>
      </c>
      <c r="K42">
        <v>0</v>
      </c>
      <c r="L42">
        <v>0</v>
      </c>
      <c r="M42">
        <v>0</v>
      </c>
      <c r="N42">
        <v>0</v>
      </c>
    </row>
    <row r="43" spans="1:14" ht="12.75" x14ac:dyDescent="0.2">
      <c r="A43">
        <v>6952</v>
      </c>
      <c r="B43" s="342">
        <v>10430</v>
      </c>
      <c r="C43" t="s">
        <v>27</v>
      </c>
      <c r="D43">
        <v>0</v>
      </c>
      <c r="E43">
        <v>0</v>
      </c>
      <c r="F43">
        <v>0</v>
      </c>
      <c r="G43">
        <v>0</v>
      </c>
      <c r="H43">
        <v>0</v>
      </c>
      <c r="I43">
        <v>0</v>
      </c>
      <c r="J43">
        <v>0</v>
      </c>
      <c r="K43">
        <v>0</v>
      </c>
      <c r="L43">
        <v>0</v>
      </c>
      <c r="M43">
        <v>0</v>
      </c>
      <c r="N43">
        <v>0</v>
      </c>
    </row>
    <row r="44" spans="1:14" ht="12.75" x14ac:dyDescent="0.2">
      <c r="A44">
        <v>6952</v>
      </c>
      <c r="B44" s="342">
        <v>10440</v>
      </c>
      <c r="C44" t="s">
        <v>256</v>
      </c>
      <c r="D44">
        <v>0</v>
      </c>
      <c r="E44">
        <v>0</v>
      </c>
      <c r="F44">
        <v>0</v>
      </c>
      <c r="G44">
        <v>0</v>
      </c>
      <c r="H44">
        <v>0</v>
      </c>
      <c r="I44">
        <v>0</v>
      </c>
      <c r="J44">
        <v>0</v>
      </c>
      <c r="K44">
        <v>0</v>
      </c>
      <c r="L44">
        <v>0</v>
      </c>
      <c r="M44">
        <v>0</v>
      </c>
      <c r="N44">
        <v>0</v>
      </c>
    </row>
    <row r="45" spans="1:14" ht="12.75" x14ac:dyDescent="0.2">
      <c r="A45">
        <v>6952</v>
      </c>
      <c r="B45" s="342">
        <v>10450</v>
      </c>
      <c r="C45" t="s">
        <v>257</v>
      </c>
      <c r="D45">
        <v>0</v>
      </c>
      <c r="E45">
        <v>0</v>
      </c>
      <c r="F45">
        <v>0</v>
      </c>
      <c r="G45">
        <v>0</v>
      </c>
      <c r="H45">
        <v>0</v>
      </c>
      <c r="I45">
        <v>0</v>
      </c>
      <c r="J45">
        <v>0</v>
      </c>
      <c r="K45">
        <v>0</v>
      </c>
      <c r="L45">
        <v>0</v>
      </c>
      <c r="M45">
        <v>0</v>
      </c>
      <c r="N45">
        <v>0</v>
      </c>
    </row>
    <row r="46" spans="1:14" ht="12.75" x14ac:dyDescent="0.2">
      <c r="A46">
        <v>6952</v>
      </c>
      <c r="B46">
        <v>10529</v>
      </c>
      <c r="C46" t="s">
        <v>258</v>
      </c>
      <c r="D46">
        <v>0</v>
      </c>
      <c r="E46">
        <v>0</v>
      </c>
      <c r="F46">
        <v>0</v>
      </c>
      <c r="G46">
        <v>0</v>
      </c>
      <c r="H46">
        <v>0</v>
      </c>
      <c r="I46">
        <v>0</v>
      </c>
      <c r="J46">
        <v>0</v>
      </c>
      <c r="K46">
        <v>0</v>
      </c>
      <c r="L46">
        <v>0</v>
      </c>
      <c r="M46">
        <v>0</v>
      </c>
      <c r="N46">
        <v>0</v>
      </c>
    </row>
    <row r="47" spans="1:14" ht="12.75" x14ac:dyDescent="0.2">
      <c r="A47">
        <v>6952</v>
      </c>
      <c r="B47" s="342">
        <v>10530</v>
      </c>
      <c r="C47" t="s">
        <v>259</v>
      </c>
      <c r="D47">
        <v>-275237.28999999998</v>
      </c>
      <c r="E47">
        <v>-521590.75</v>
      </c>
      <c r="F47">
        <v>-90000</v>
      </c>
      <c r="G47">
        <v>-170478.92</v>
      </c>
      <c r="H47">
        <v>-170478.92</v>
      </c>
      <c r="I47">
        <v>-90000</v>
      </c>
      <c r="J47">
        <v>-275237.28999999998</v>
      </c>
      <c r="K47">
        <v>0</v>
      </c>
      <c r="L47">
        <v>0</v>
      </c>
      <c r="M47">
        <v>0</v>
      </c>
      <c r="N47">
        <v>0</v>
      </c>
    </row>
    <row r="48" spans="1:14" ht="12.75" x14ac:dyDescent="0.2">
      <c r="A48">
        <v>6952</v>
      </c>
      <c r="B48">
        <v>10600</v>
      </c>
      <c r="C48" t="s">
        <v>260</v>
      </c>
      <c r="D48">
        <v>0</v>
      </c>
      <c r="E48">
        <v>0</v>
      </c>
      <c r="F48">
        <v>0</v>
      </c>
      <c r="G48">
        <v>0</v>
      </c>
      <c r="H48">
        <v>0</v>
      </c>
      <c r="I48">
        <v>0</v>
      </c>
      <c r="J48">
        <v>0</v>
      </c>
      <c r="K48">
        <v>0</v>
      </c>
      <c r="L48">
        <v>0</v>
      </c>
      <c r="M48">
        <v>0</v>
      </c>
      <c r="N48">
        <v>0</v>
      </c>
    </row>
    <row r="49" spans="1:14" ht="12.75" x14ac:dyDescent="0.2">
      <c r="A49">
        <v>6952</v>
      </c>
      <c r="B49">
        <v>10601</v>
      </c>
      <c r="C49" t="s">
        <v>261</v>
      </c>
      <c r="D49">
        <v>0</v>
      </c>
      <c r="E49">
        <v>0</v>
      </c>
      <c r="F49">
        <v>0</v>
      </c>
      <c r="G49">
        <v>0</v>
      </c>
      <c r="H49">
        <v>0</v>
      </c>
      <c r="I49">
        <v>0</v>
      </c>
      <c r="J49">
        <v>0</v>
      </c>
      <c r="K49">
        <v>0</v>
      </c>
      <c r="L49">
        <v>0</v>
      </c>
      <c r="M49">
        <v>0</v>
      </c>
      <c r="N49">
        <v>0</v>
      </c>
    </row>
    <row r="50" spans="1:14" ht="12.75" x14ac:dyDescent="0.2">
      <c r="A50">
        <v>6952</v>
      </c>
      <c r="B50" s="342">
        <v>10640</v>
      </c>
      <c r="C50" t="s">
        <v>262</v>
      </c>
      <c r="D50">
        <v>0</v>
      </c>
      <c r="E50">
        <v>0</v>
      </c>
      <c r="F50">
        <v>0</v>
      </c>
      <c r="G50">
        <v>0</v>
      </c>
      <c r="H50">
        <v>0</v>
      </c>
      <c r="I50">
        <v>0</v>
      </c>
      <c r="J50">
        <v>0</v>
      </c>
      <c r="K50">
        <v>0</v>
      </c>
      <c r="L50">
        <v>0</v>
      </c>
      <c r="M50">
        <v>0</v>
      </c>
      <c r="N50">
        <v>0</v>
      </c>
    </row>
    <row r="51" spans="1:14" ht="12.75" x14ac:dyDescent="0.2">
      <c r="A51">
        <v>6952</v>
      </c>
      <c r="B51" s="342">
        <v>10660</v>
      </c>
      <c r="C51" t="s">
        <v>263</v>
      </c>
      <c r="D51">
        <v>0</v>
      </c>
      <c r="E51">
        <v>-100</v>
      </c>
      <c r="F51">
        <v>0</v>
      </c>
      <c r="G51">
        <v>-300</v>
      </c>
      <c r="H51">
        <v>-300</v>
      </c>
      <c r="I51">
        <v>0</v>
      </c>
      <c r="J51">
        <v>0</v>
      </c>
      <c r="K51">
        <v>0</v>
      </c>
      <c r="L51">
        <v>0</v>
      </c>
      <c r="M51">
        <v>0</v>
      </c>
      <c r="N51">
        <v>0</v>
      </c>
    </row>
    <row r="52" spans="1:14" ht="12.75" x14ac:dyDescent="0.2">
      <c r="A52">
        <v>6952</v>
      </c>
      <c r="B52" s="342">
        <v>10665</v>
      </c>
      <c r="C52" t="s">
        <v>1062</v>
      </c>
      <c r="D52">
        <v>0</v>
      </c>
      <c r="E52">
        <v>0</v>
      </c>
      <c r="F52">
        <v>0</v>
      </c>
      <c r="G52">
        <v>0</v>
      </c>
      <c r="H52">
        <v>0</v>
      </c>
      <c r="I52">
        <v>0</v>
      </c>
      <c r="J52">
        <v>0</v>
      </c>
      <c r="K52">
        <v>0</v>
      </c>
      <c r="L52">
        <v>0</v>
      </c>
      <c r="M52">
        <v>0</v>
      </c>
      <c r="N52">
        <v>0</v>
      </c>
    </row>
    <row r="53" spans="1:14" ht="12.75" x14ac:dyDescent="0.2">
      <c r="A53">
        <v>6952</v>
      </c>
      <c r="B53" s="342">
        <v>10700</v>
      </c>
      <c r="C53" t="s">
        <v>28</v>
      </c>
      <c r="D53">
        <v>0</v>
      </c>
      <c r="E53">
        <v>0</v>
      </c>
      <c r="F53">
        <v>0</v>
      </c>
      <c r="G53">
        <v>0</v>
      </c>
      <c r="H53">
        <v>0</v>
      </c>
      <c r="I53">
        <v>0</v>
      </c>
      <c r="J53">
        <v>0</v>
      </c>
      <c r="K53">
        <v>0</v>
      </c>
      <c r="L53">
        <v>0</v>
      </c>
      <c r="M53">
        <v>0</v>
      </c>
      <c r="N53">
        <v>0</v>
      </c>
    </row>
    <row r="54" spans="1:14" ht="12.75" x14ac:dyDescent="0.2">
      <c r="A54">
        <v>6952</v>
      </c>
      <c r="B54" s="342">
        <v>10710</v>
      </c>
      <c r="C54" t="s">
        <v>264</v>
      </c>
      <c r="D54">
        <v>0</v>
      </c>
      <c r="E54">
        <v>-633.04</v>
      </c>
      <c r="F54">
        <v>-1000</v>
      </c>
      <c r="G54">
        <v>-1137.58</v>
      </c>
      <c r="H54">
        <v>-1137.58</v>
      </c>
      <c r="I54">
        <v>-1000</v>
      </c>
      <c r="J54">
        <v>0</v>
      </c>
      <c r="K54">
        <v>0</v>
      </c>
      <c r="L54">
        <v>-41.69</v>
      </c>
      <c r="M54">
        <v>-41.69</v>
      </c>
      <c r="N54">
        <v>0</v>
      </c>
    </row>
    <row r="55" spans="1:14" ht="12.75" x14ac:dyDescent="0.2">
      <c r="A55">
        <v>6952</v>
      </c>
      <c r="B55" s="342">
        <v>10800</v>
      </c>
      <c r="C55" t="s">
        <v>265</v>
      </c>
      <c r="D55">
        <v>0</v>
      </c>
      <c r="E55">
        <v>0</v>
      </c>
      <c r="F55">
        <v>0</v>
      </c>
      <c r="G55">
        <v>0</v>
      </c>
      <c r="H55">
        <v>0</v>
      </c>
      <c r="I55">
        <v>0</v>
      </c>
      <c r="J55">
        <v>0</v>
      </c>
      <c r="K55">
        <v>0</v>
      </c>
      <c r="L55">
        <v>0</v>
      </c>
      <c r="M55">
        <v>0</v>
      </c>
      <c r="N55">
        <v>0</v>
      </c>
    </row>
    <row r="56" spans="1:14" ht="12.75" x14ac:dyDescent="0.2">
      <c r="A56">
        <v>6952</v>
      </c>
      <c r="B56" s="342">
        <v>10801</v>
      </c>
      <c r="C56" t="s">
        <v>266</v>
      </c>
      <c r="D56">
        <v>0</v>
      </c>
      <c r="E56">
        <v>0</v>
      </c>
      <c r="F56">
        <v>0</v>
      </c>
      <c r="G56">
        <v>0</v>
      </c>
      <c r="H56">
        <v>0</v>
      </c>
      <c r="I56">
        <v>0</v>
      </c>
      <c r="J56">
        <v>0</v>
      </c>
      <c r="K56">
        <v>0</v>
      </c>
      <c r="L56">
        <v>0</v>
      </c>
      <c r="M56">
        <v>0</v>
      </c>
      <c r="N56">
        <v>0</v>
      </c>
    </row>
    <row r="57" spans="1:14" ht="12.75" x14ac:dyDescent="0.2">
      <c r="A57">
        <v>6952</v>
      </c>
      <c r="B57" s="342">
        <v>10850</v>
      </c>
      <c r="C57" t="s">
        <v>47</v>
      </c>
      <c r="D57">
        <v>0</v>
      </c>
      <c r="E57">
        <v>0</v>
      </c>
      <c r="F57">
        <v>0</v>
      </c>
      <c r="G57">
        <v>-11.91</v>
      </c>
      <c r="H57">
        <v>-11.91</v>
      </c>
      <c r="I57">
        <v>0</v>
      </c>
      <c r="J57">
        <v>0</v>
      </c>
      <c r="K57">
        <v>0</v>
      </c>
      <c r="L57">
        <v>0</v>
      </c>
      <c r="M57">
        <v>0</v>
      </c>
      <c r="N57">
        <v>0</v>
      </c>
    </row>
    <row r="58" spans="1:14" ht="12.75" x14ac:dyDescent="0.2">
      <c r="A58">
        <v>6952</v>
      </c>
      <c r="B58" s="342">
        <v>10890</v>
      </c>
      <c r="C58" t="s">
        <v>267</v>
      </c>
      <c r="D58">
        <v>0</v>
      </c>
      <c r="E58">
        <v>-7600</v>
      </c>
      <c r="F58">
        <v>-20000</v>
      </c>
      <c r="G58">
        <v>-2990</v>
      </c>
      <c r="H58">
        <v>-2990</v>
      </c>
      <c r="I58">
        <v>-20000</v>
      </c>
      <c r="J58">
        <v>0</v>
      </c>
      <c r="K58">
        <v>0</v>
      </c>
      <c r="L58">
        <v>-440</v>
      </c>
      <c r="M58">
        <v>-440</v>
      </c>
      <c r="N58">
        <v>0</v>
      </c>
    </row>
    <row r="59" spans="1:14" ht="12.75" x14ac:dyDescent="0.2">
      <c r="A59">
        <v>6952</v>
      </c>
      <c r="B59" s="342">
        <v>10895</v>
      </c>
      <c r="C59" t="s">
        <v>268</v>
      </c>
      <c r="D59">
        <v>0</v>
      </c>
      <c r="E59">
        <v>0</v>
      </c>
      <c r="F59">
        <v>0</v>
      </c>
      <c r="G59">
        <v>0</v>
      </c>
      <c r="H59">
        <v>0</v>
      </c>
      <c r="I59">
        <v>0</v>
      </c>
      <c r="J59">
        <v>0</v>
      </c>
      <c r="K59">
        <v>0</v>
      </c>
      <c r="L59">
        <v>0</v>
      </c>
      <c r="M59">
        <v>0</v>
      </c>
      <c r="N59">
        <v>0</v>
      </c>
    </row>
    <row r="60" spans="1:14" ht="12.75" x14ac:dyDescent="0.2">
      <c r="A60">
        <v>6952</v>
      </c>
      <c r="B60" s="342">
        <v>10900</v>
      </c>
      <c r="C60" t="s">
        <v>269</v>
      </c>
      <c r="D60">
        <v>-140.71</v>
      </c>
      <c r="E60">
        <v>-10565.03</v>
      </c>
      <c r="F60">
        <v>0</v>
      </c>
      <c r="G60">
        <v>-8573.06</v>
      </c>
      <c r="H60">
        <v>-8573.06</v>
      </c>
      <c r="I60">
        <v>0</v>
      </c>
      <c r="J60">
        <v>-140.71</v>
      </c>
      <c r="K60">
        <v>1411.84</v>
      </c>
      <c r="L60">
        <v>-36.53</v>
      </c>
      <c r="M60">
        <v>-36.53</v>
      </c>
      <c r="N60">
        <v>0</v>
      </c>
    </row>
    <row r="61" spans="1:14" ht="12.75" x14ac:dyDescent="0.2">
      <c r="A61">
        <v>6952</v>
      </c>
      <c r="B61" s="342">
        <v>10901</v>
      </c>
      <c r="C61" t="s">
        <v>270</v>
      </c>
      <c r="D61">
        <v>2069.5500000000002</v>
      </c>
      <c r="E61">
        <v>3655.09</v>
      </c>
      <c r="F61">
        <v>0</v>
      </c>
      <c r="G61">
        <v>7648.92</v>
      </c>
      <c r="H61">
        <v>7648.92</v>
      </c>
      <c r="I61">
        <v>0</v>
      </c>
      <c r="J61">
        <v>2069.5500000000002</v>
      </c>
      <c r="K61">
        <v>3794.22</v>
      </c>
      <c r="L61">
        <v>7648.92</v>
      </c>
      <c r="M61">
        <v>7648.92</v>
      </c>
      <c r="N61">
        <v>0</v>
      </c>
    </row>
    <row r="62" spans="1:14" ht="12.75" x14ac:dyDescent="0.2">
      <c r="A62">
        <v>6952</v>
      </c>
      <c r="B62" s="342">
        <v>10902</v>
      </c>
      <c r="C62" t="s">
        <v>29</v>
      </c>
      <c r="D62">
        <v>0</v>
      </c>
      <c r="E62">
        <v>0</v>
      </c>
      <c r="F62">
        <v>0</v>
      </c>
      <c r="G62">
        <v>0</v>
      </c>
      <c r="H62">
        <v>0</v>
      </c>
      <c r="I62">
        <v>0</v>
      </c>
      <c r="J62">
        <v>0</v>
      </c>
      <c r="K62">
        <v>0</v>
      </c>
      <c r="L62">
        <v>0</v>
      </c>
      <c r="M62">
        <v>0</v>
      </c>
      <c r="N62">
        <v>0</v>
      </c>
    </row>
    <row r="63" spans="1:14" ht="12.75" x14ac:dyDescent="0.2">
      <c r="A63">
        <v>6952</v>
      </c>
      <c r="B63" s="342">
        <v>10903</v>
      </c>
      <c r="C63" t="s">
        <v>30</v>
      </c>
      <c r="D63">
        <v>0</v>
      </c>
      <c r="E63">
        <v>0</v>
      </c>
      <c r="F63">
        <v>0</v>
      </c>
      <c r="G63">
        <v>0</v>
      </c>
      <c r="H63">
        <v>0</v>
      </c>
      <c r="I63">
        <v>0</v>
      </c>
      <c r="J63">
        <v>0</v>
      </c>
      <c r="K63">
        <v>0</v>
      </c>
      <c r="L63">
        <v>0</v>
      </c>
      <c r="M63">
        <v>0</v>
      </c>
      <c r="N63">
        <v>0</v>
      </c>
    </row>
    <row r="64" spans="1:14" ht="12.75" x14ac:dyDescent="0.2">
      <c r="A64">
        <v>6952</v>
      </c>
      <c r="B64" s="342">
        <v>10990</v>
      </c>
      <c r="C64" t="s">
        <v>247</v>
      </c>
      <c r="D64">
        <v>0</v>
      </c>
      <c r="E64">
        <v>-6665</v>
      </c>
      <c r="F64">
        <v>-20000</v>
      </c>
      <c r="G64">
        <v>0</v>
      </c>
      <c r="H64">
        <v>0</v>
      </c>
      <c r="I64">
        <v>-20000</v>
      </c>
      <c r="J64">
        <v>0</v>
      </c>
      <c r="K64">
        <v>0</v>
      </c>
      <c r="L64">
        <v>0</v>
      </c>
      <c r="M64">
        <v>0</v>
      </c>
      <c r="N64">
        <v>0</v>
      </c>
    </row>
    <row r="65" spans="1:14" ht="12.75" x14ac:dyDescent="0.2">
      <c r="A65">
        <v>6952</v>
      </c>
      <c r="B65" s="342">
        <v>1597</v>
      </c>
      <c r="C65" t="s">
        <v>880</v>
      </c>
      <c r="D65">
        <v>1521.84</v>
      </c>
      <c r="E65">
        <v>14478.31</v>
      </c>
      <c r="F65">
        <v>630</v>
      </c>
      <c r="G65">
        <v>14751.79</v>
      </c>
      <c r="H65">
        <v>14751.79</v>
      </c>
      <c r="I65">
        <v>630</v>
      </c>
      <c r="J65">
        <v>1521.84</v>
      </c>
      <c r="K65">
        <v>14478.31</v>
      </c>
      <c r="L65">
        <v>14751.79</v>
      </c>
      <c r="M65">
        <v>14751.79</v>
      </c>
      <c r="N65">
        <v>0</v>
      </c>
    </row>
    <row r="66" spans="1:14" ht="12.75" x14ac:dyDescent="0.2">
      <c r="A66">
        <v>6952</v>
      </c>
      <c r="B66" s="342">
        <v>1900</v>
      </c>
      <c r="C66" t="s">
        <v>271</v>
      </c>
      <c r="D66">
        <v>-816583.32</v>
      </c>
      <c r="E66">
        <v>-2193216.8199999998</v>
      </c>
      <c r="F66">
        <v>-1420415</v>
      </c>
      <c r="G66">
        <v>-1633477</v>
      </c>
      <c r="H66">
        <v>-1633477</v>
      </c>
      <c r="I66">
        <v>-1420415</v>
      </c>
      <c r="J66">
        <v>-816583.32</v>
      </c>
      <c r="K66">
        <v>0</v>
      </c>
      <c r="L66">
        <v>1501782</v>
      </c>
      <c r="M66">
        <v>1501782</v>
      </c>
      <c r="N66">
        <v>0</v>
      </c>
    </row>
    <row r="67" spans="1:14" ht="12.75" x14ac:dyDescent="0.2">
      <c r="A67">
        <v>6952</v>
      </c>
      <c r="B67" s="342">
        <v>1905</v>
      </c>
      <c r="C67" t="s">
        <v>271</v>
      </c>
      <c r="D67">
        <v>816583.32</v>
      </c>
      <c r="E67">
        <v>2193216.8199999998</v>
      </c>
      <c r="F67">
        <v>1420415</v>
      </c>
      <c r="G67">
        <v>1633477</v>
      </c>
      <c r="H67">
        <v>1633477</v>
      </c>
      <c r="I67">
        <v>1420415</v>
      </c>
      <c r="J67">
        <v>816583.32</v>
      </c>
      <c r="K67">
        <v>3694998.82</v>
      </c>
      <c r="L67">
        <v>3135259</v>
      </c>
      <c r="M67">
        <v>3135259</v>
      </c>
      <c r="N67">
        <v>0</v>
      </c>
    </row>
    <row r="68" spans="1:14" ht="12.75" x14ac:dyDescent="0.2">
      <c r="A68">
        <v>6952</v>
      </c>
      <c r="B68" s="342">
        <v>1999</v>
      </c>
      <c r="C68" t="s">
        <v>759</v>
      </c>
      <c r="D68">
        <v>0</v>
      </c>
      <c r="E68">
        <v>0</v>
      </c>
      <c r="F68">
        <v>0</v>
      </c>
      <c r="G68">
        <v>0</v>
      </c>
      <c r="H68">
        <v>0</v>
      </c>
      <c r="I68">
        <v>0</v>
      </c>
      <c r="J68">
        <v>0</v>
      </c>
      <c r="K68">
        <v>0</v>
      </c>
      <c r="L68">
        <v>0</v>
      </c>
      <c r="M68">
        <v>0</v>
      </c>
      <c r="N68">
        <v>0</v>
      </c>
    </row>
    <row r="69" spans="1:14" ht="12.75" x14ac:dyDescent="0.2">
      <c r="A69">
        <v>6952</v>
      </c>
      <c r="B69">
        <v>20999</v>
      </c>
      <c r="C69" t="s">
        <v>272</v>
      </c>
      <c r="D69">
        <v>0</v>
      </c>
      <c r="E69">
        <v>0</v>
      </c>
      <c r="F69">
        <v>0</v>
      </c>
      <c r="G69">
        <v>0</v>
      </c>
      <c r="H69">
        <v>0</v>
      </c>
      <c r="I69">
        <v>0</v>
      </c>
      <c r="J69">
        <v>0</v>
      </c>
      <c r="K69">
        <v>0</v>
      </c>
      <c r="L69">
        <v>0</v>
      </c>
      <c r="M69">
        <v>0</v>
      </c>
      <c r="N69">
        <v>0</v>
      </c>
    </row>
    <row r="70" spans="1:14" ht="12.75" x14ac:dyDescent="0.2">
      <c r="A70">
        <v>6952</v>
      </c>
      <c r="B70" s="342">
        <v>21000</v>
      </c>
      <c r="C70" t="s">
        <v>273</v>
      </c>
      <c r="D70">
        <v>0</v>
      </c>
      <c r="E70">
        <v>0</v>
      </c>
      <c r="F70">
        <v>0</v>
      </c>
      <c r="G70">
        <v>0</v>
      </c>
      <c r="H70">
        <v>0</v>
      </c>
      <c r="I70">
        <v>0</v>
      </c>
      <c r="J70">
        <v>0</v>
      </c>
      <c r="K70">
        <v>0</v>
      </c>
      <c r="L70">
        <v>0</v>
      </c>
      <c r="M70">
        <v>0</v>
      </c>
      <c r="N70">
        <v>0</v>
      </c>
    </row>
    <row r="71" spans="1:14" ht="12.75" x14ac:dyDescent="0.2">
      <c r="A71">
        <v>6952</v>
      </c>
      <c r="B71" s="342">
        <v>21100</v>
      </c>
      <c r="C71" t="s">
        <v>274</v>
      </c>
      <c r="D71">
        <v>0</v>
      </c>
      <c r="E71">
        <v>0</v>
      </c>
      <c r="F71">
        <v>0</v>
      </c>
      <c r="G71">
        <v>0</v>
      </c>
      <c r="H71">
        <v>0</v>
      </c>
      <c r="I71">
        <v>0</v>
      </c>
      <c r="J71">
        <v>0</v>
      </c>
      <c r="K71">
        <v>0</v>
      </c>
      <c r="L71">
        <v>0</v>
      </c>
      <c r="M71">
        <v>0</v>
      </c>
      <c r="N71">
        <v>0</v>
      </c>
    </row>
    <row r="72" spans="1:14" ht="12.75" x14ac:dyDescent="0.2">
      <c r="A72">
        <v>6952</v>
      </c>
      <c r="B72" s="342">
        <v>21110</v>
      </c>
      <c r="C72" t="s">
        <v>275</v>
      </c>
      <c r="D72">
        <v>0</v>
      </c>
      <c r="E72">
        <v>0</v>
      </c>
      <c r="F72">
        <v>0</v>
      </c>
      <c r="G72">
        <v>0</v>
      </c>
      <c r="H72">
        <v>0</v>
      </c>
      <c r="I72">
        <v>0</v>
      </c>
      <c r="J72">
        <v>0</v>
      </c>
      <c r="K72">
        <v>0</v>
      </c>
      <c r="L72">
        <v>0</v>
      </c>
      <c r="M72">
        <v>0</v>
      </c>
      <c r="N72">
        <v>0</v>
      </c>
    </row>
    <row r="73" spans="1:14" ht="12.75" x14ac:dyDescent="0.2">
      <c r="A73">
        <v>6952</v>
      </c>
      <c r="B73" s="342">
        <v>21170</v>
      </c>
      <c r="C73" t="s">
        <v>276</v>
      </c>
      <c r="D73">
        <v>0</v>
      </c>
      <c r="E73">
        <v>0</v>
      </c>
      <c r="F73">
        <v>0</v>
      </c>
      <c r="G73">
        <v>0</v>
      </c>
      <c r="H73">
        <v>0</v>
      </c>
      <c r="I73">
        <v>0</v>
      </c>
      <c r="J73">
        <v>0</v>
      </c>
      <c r="K73">
        <v>0</v>
      </c>
      <c r="L73">
        <v>0</v>
      </c>
      <c r="M73">
        <v>0</v>
      </c>
      <c r="N73">
        <v>0</v>
      </c>
    </row>
    <row r="74" spans="1:14" ht="12.75" x14ac:dyDescent="0.2">
      <c r="A74">
        <v>6952</v>
      </c>
      <c r="B74" s="342">
        <v>21800</v>
      </c>
      <c r="C74" t="s">
        <v>277</v>
      </c>
      <c r="D74">
        <v>0</v>
      </c>
      <c r="E74">
        <v>0</v>
      </c>
      <c r="F74">
        <v>0</v>
      </c>
      <c r="G74">
        <v>0</v>
      </c>
      <c r="H74">
        <v>0</v>
      </c>
      <c r="I74">
        <v>0</v>
      </c>
      <c r="J74">
        <v>0</v>
      </c>
      <c r="K74">
        <v>0</v>
      </c>
      <c r="L74">
        <v>0</v>
      </c>
      <c r="M74">
        <v>0</v>
      </c>
      <c r="N74">
        <v>0</v>
      </c>
    </row>
    <row r="75" spans="1:14" ht="12.75" x14ac:dyDescent="0.2">
      <c r="A75">
        <v>6952</v>
      </c>
      <c r="B75" s="342">
        <v>21900</v>
      </c>
      <c r="C75" t="s">
        <v>278</v>
      </c>
      <c r="D75">
        <v>0</v>
      </c>
      <c r="E75">
        <v>0</v>
      </c>
      <c r="F75">
        <v>0</v>
      </c>
      <c r="G75">
        <v>0</v>
      </c>
      <c r="H75">
        <v>0</v>
      </c>
      <c r="I75">
        <v>0</v>
      </c>
      <c r="J75">
        <v>0</v>
      </c>
      <c r="K75">
        <v>0</v>
      </c>
      <c r="L75">
        <v>0</v>
      </c>
      <c r="M75">
        <v>0</v>
      </c>
      <c r="N75">
        <v>0</v>
      </c>
    </row>
    <row r="76" spans="1:14" ht="12.75" x14ac:dyDescent="0.2">
      <c r="A76">
        <v>6952</v>
      </c>
      <c r="B76" s="342">
        <v>22000</v>
      </c>
      <c r="C76" t="s">
        <v>279</v>
      </c>
      <c r="D76">
        <v>0</v>
      </c>
      <c r="E76">
        <v>-2104.34</v>
      </c>
      <c r="F76">
        <v>0</v>
      </c>
      <c r="G76">
        <v>0</v>
      </c>
      <c r="H76">
        <v>0</v>
      </c>
      <c r="I76">
        <v>0</v>
      </c>
      <c r="J76">
        <v>0</v>
      </c>
      <c r="K76">
        <v>0</v>
      </c>
      <c r="L76">
        <v>0</v>
      </c>
      <c r="M76">
        <v>0</v>
      </c>
      <c r="N76">
        <v>0</v>
      </c>
    </row>
    <row r="77" spans="1:14" ht="12.75" x14ac:dyDescent="0.2">
      <c r="A77">
        <v>6952</v>
      </c>
      <c r="B77" s="342">
        <v>22100</v>
      </c>
      <c r="C77" t="s">
        <v>280</v>
      </c>
      <c r="D77">
        <v>0</v>
      </c>
      <c r="E77">
        <v>1765.21</v>
      </c>
      <c r="F77">
        <v>0</v>
      </c>
      <c r="G77">
        <v>0</v>
      </c>
      <c r="H77">
        <v>0</v>
      </c>
      <c r="I77">
        <v>0</v>
      </c>
      <c r="J77">
        <v>0</v>
      </c>
      <c r="K77">
        <v>1765.21</v>
      </c>
      <c r="L77">
        <v>0</v>
      </c>
      <c r="M77">
        <v>0</v>
      </c>
      <c r="N77">
        <v>0</v>
      </c>
    </row>
    <row r="78" spans="1:14" ht="12.75" x14ac:dyDescent="0.2">
      <c r="A78">
        <v>6952</v>
      </c>
      <c r="B78" s="342">
        <v>22200</v>
      </c>
      <c r="C78" t="s">
        <v>281</v>
      </c>
      <c r="D78">
        <v>0</v>
      </c>
      <c r="E78">
        <v>0</v>
      </c>
      <c r="F78">
        <v>0</v>
      </c>
      <c r="G78">
        <v>0</v>
      </c>
      <c r="H78">
        <v>0</v>
      </c>
      <c r="I78">
        <v>0</v>
      </c>
      <c r="J78">
        <v>0</v>
      </c>
      <c r="K78">
        <v>0</v>
      </c>
      <c r="L78">
        <v>0</v>
      </c>
      <c r="M78">
        <v>0</v>
      </c>
      <c r="N78">
        <v>0</v>
      </c>
    </row>
    <row r="79" spans="1:14" ht="12.75" x14ac:dyDescent="0.2">
      <c r="A79">
        <v>6952</v>
      </c>
      <c r="B79" s="342">
        <v>22300</v>
      </c>
      <c r="C79" t="s">
        <v>282</v>
      </c>
      <c r="D79">
        <v>0</v>
      </c>
      <c r="E79">
        <v>0</v>
      </c>
      <c r="F79">
        <v>0</v>
      </c>
      <c r="G79">
        <v>0</v>
      </c>
      <c r="H79">
        <v>0</v>
      </c>
      <c r="I79">
        <v>0</v>
      </c>
      <c r="J79">
        <v>0</v>
      </c>
      <c r="K79">
        <v>0</v>
      </c>
      <c r="L79">
        <v>0</v>
      </c>
      <c r="M79">
        <v>0</v>
      </c>
      <c r="N79">
        <v>0</v>
      </c>
    </row>
    <row r="80" spans="1:14" ht="12.75" x14ac:dyDescent="0.2">
      <c r="A80">
        <v>6952</v>
      </c>
      <c r="B80" s="342">
        <v>22400</v>
      </c>
      <c r="C80" t="s">
        <v>283</v>
      </c>
      <c r="D80">
        <v>0</v>
      </c>
      <c r="E80">
        <v>0</v>
      </c>
      <c r="F80">
        <v>0</v>
      </c>
      <c r="G80">
        <v>0</v>
      </c>
      <c r="H80">
        <v>0</v>
      </c>
      <c r="I80">
        <v>0</v>
      </c>
      <c r="J80">
        <v>0</v>
      </c>
      <c r="K80">
        <v>0</v>
      </c>
      <c r="L80">
        <v>0</v>
      </c>
      <c r="M80">
        <v>0</v>
      </c>
      <c r="N80">
        <v>0</v>
      </c>
    </row>
    <row r="81" spans="1:14" ht="12.75" x14ac:dyDescent="0.2">
      <c r="A81">
        <v>6952</v>
      </c>
      <c r="B81" s="342">
        <v>22500</v>
      </c>
      <c r="C81" t="s">
        <v>284</v>
      </c>
      <c r="D81">
        <v>0</v>
      </c>
      <c r="E81">
        <v>0</v>
      </c>
      <c r="F81">
        <v>0</v>
      </c>
      <c r="G81">
        <v>0</v>
      </c>
      <c r="H81">
        <v>0</v>
      </c>
      <c r="I81">
        <v>0</v>
      </c>
      <c r="J81">
        <v>0</v>
      </c>
      <c r="K81">
        <v>0</v>
      </c>
      <c r="L81">
        <v>0</v>
      </c>
      <c r="M81">
        <v>0</v>
      </c>
      <c r="N81">
        <v>0</v>
      </c>
    </row>
    <row r="82" spans="1:14" ht="12.75" x14ac:dyDescent="0.2">
      <c r="A82">
        <v>6952</v>
      </c>
      <c r="B82">
        <v>23000</v>
      </c>
      <c r="C82" t="s">
        <v>286</v>
      </c>
      <c r="D82">
        <v>0</v>
      </c>
      <c r="E82">
        <v>0</v>
      </c>
      <c r="F82">
        <v>0</v>
      </c>
      <c r="G82">
        <v>0</v>
      </c>
      <c r="H82">
        <v>0</v>
      </c>
      <c r="I82">
        <v>0</v>
      </c>
      <c r="J82">
        <v>0</v>
      </c>
      <c r="K82">
        <v>0</v>
      </c>
      <c r="L82">
        <v>0</v>
      </c>
      <c r="M82">
        <v>0</v>
      </c>
      <c r="N82">
        <v>0</v>
      </c>
    </row>
    <row r="83" spans="1:14" ht="12.75" x14ac:dyDescent="0.2">
      <c r="A83">
        <v>6952</v>
      </c>
      <c r="B83" s="342">
        <v>23200</v>
      </c>
      <c r="C83" t="s">
        <v>287</v>
      </c>
      <c r="D83">
        <v>0</v>
      </c>
      <c r="E83">
        <v>0</v>
      </c>
      <c r="F83">
        <v>0</v>
      </c>
      <c r="G83">
        <v>0</v>
      </c>
      <c r="H83">
        <v>0</v>
      </c>
      <c r="I83">
        <v>0</v>
      </c>
      <c r="J83">
        <v>0</v>
      </c>
      <c r="K83">
        <v>0</v>
      </c>
      <c r="L83">
        <v>0</v>
      </c>
      <c r="M83">
        <v>0</v>
      </c>
      <c r="N83">
        <v>0</v>
      </c>
    </row>
    <row r="84" spans="1:14" ht="12.75" x14ac:dyDescent="0.2">
      <c r="A84">
        <v>6952</v>
      </c>
      <c r="B84" s="342">
        <v>23300</v>
      </c>
      <c r="C84" t="s">
        <v>288</v>
      </c>
      <c r="D84">
        <v>0</v>
      </c>
      <c r="E84">
        <v>0</v>
      </c>
      <c r="F84">
        <v>0</v>
      </c>
      <c r="G84">
        <v>0</v>
      </c>
      <c r="H84">
        <v>0</v>
      </c>
      <c r="I84">
        <v>0</v>
      </c>
      <c r="J84">
        <v>0</v>
      </c>
      <c r="K84">
        <v>0</v>
      </c>
      <c r="L84">
        <v>0</v>
      </c>
      <c r="M84">
        <v>0</v>
      </c>
      <c r="N84">
        <v>0</v>
      </c>
    </row>
    <row r="85" spans="1:14" ht="12.75" x14ac:dyDescent="0.2">
      <c r="A85">
        <v>6952</v>
      </c>
      <c r="B85" s="342">
        <v>23400</v>
      </c>
      <c r="C85" t="s">
        <v>123</v>
      </c>
      <c r="D85">
        <v>0</v>
      </c>
      <c r="E85">
        <v>-1246.08</v>
      </c>
      <c r="F85">
        <v>0</v>
      </c>
      <c r="G85">
        <v>310</v>
      </c>
      <c r="H85">
        <v>310</v>
      </c>
      <c r="I85">
        <v>0</v>
      </c>
      <c r="J85">
        <v>0</v>
      </c>
      <c r="K85">
        <v>0</v>
      </c>
      <c r="L85">
        <v>0</v>
      </c>
      <c r="M85">
        <v>0</v>
      </c>
      <c r="N85">
        <v>0</v>
      </c>
    </row>
    <row r="86" spans="1:14" ht="12.75" x14ac:dyDescent="0.2">
      <c r="A86">
        <v>6952</v>
      </c>
      <c r="B86" s="342">
        <v>23500</v>
      </c>
      <c r="C86" t="s">
        <v>124</v>
      </c>
      <c r="D86">
        <v>0</v>
      </c>
      <c r="E86">
        <v>0</v>
      </c>
      <c r="F86">
        <v>0</v>
      </c>
      <c r="G86">
        <v>0</v>
      </c>
      <c r="H86">
        <v>0</v>
      </c>
      <c r="I86">
        <v>0</v>
      </c>
      <c r="J86">
        <v>0</v>
      </c>
      <c r="K86">
        <v>0</v>
      </c>
      <c r="L86">
        <v>0</v>
      </c>
      <c r="M86">
        <v>0</v>
      </c>
      <c r="N86">
        <v>0</v>
      </c>
    </row>
    <row r="87" spans="1:14" ht="12.75" x14ac:dyDescent="0.2">
      <c r="A87">
        <v>6952</v>
      </c>
      <c r="B87" s="342">
        <v>23600</v>
      </c>
      <c r="C87" t="s">
        <v>289</v>
      </c>
      <c r="D87">
        <v>0</v>
      </c>
      <c r="E87">
        <v>0</v>
      </c>
      <c r="F87">
        <v>0</v>
      </c>
      <c r="G87">
        <v>0</v>
      </c>
      <c r="H87">
        <v>0</v>
      </c>
      <c r="I87">
        <v>0</v>
      </c>
      <c r="J87">
        <v>0</v>
      </c>
      <c r="K87">
        <v>0</v>
      </c>
      <c r="L87">
        <v>0</v>
      </c>
      <c r="M87">
        <v>0</v>
      </c>
      <c r="N87">
        <v>0</v>
      </c>
    </row>
    <row r="88" spans="1:14" ht="12.75" x14ac:dyDescent="0.2">
      <c r="A88">
        <v>6952</v>
      </c>
      <c r="B88" s="342">
        <v>23700</v>
      </c>
      <c r="C88" t="s">
        <v>290</v>
      </c>
      <c r="D88">
        <v>0</v>
      </c>
      <c r="E88">
        <v>0</v>
      </c>
      <c r="F88">
        <v>0</v>
      </c>
      <c r="G88">
        <v>0</v>
      </c>
      <c r="H88">
        <v>0</v>
      </c>
      <c r="I88">
        <v>0</v>
      </c>
      <c r="J88">
        <v>0</v>
      </c>
      <c r="K88">
        <v>0</v>
      </c>
      <c r="L88">
        <v>0</v>
      </c>
      <c r="M88">
        <v>0</v>
      </c>
      <c r="N88">
        <v>0</v>
      </c>
    </row>
    <row r="89" spans="1:14" ht="12.75" x14ac:dyDescent="0.2">
      <c r="A89">
        <v>6952</v>
      </c>
      <c r="B89" s="342">
        <v>24000</v>
      </c>
      <c r="C89" t="s">
        <v>291</v>
      </c>
      <c r="D89">
        <v>0</v>
      </c>
      <c r="E89">
        <v>0</v>
      </c>
      <c r="F89">
        <v>0</v>
      </c>
      <c r="G89">
        <v>0</v>
      </c>
      <c r="H89">
        <v>0</v>
      </c>
      <c r="I89">
        <v>0</v>
      </c>
      <c r="J89">
        <v>0</v>
      </c>
      <c r="K89">
        <v>0</v>
      </c>
      <c r="L89">
        <v>0</v>
      </c>
      <c r="M89">
        <v>0</v>
      </c>
      <c r="N89">
        <v>0</v>
      </c>
    </row>
    <row r="90" spans="1:14" ht="12.75" x14ac:dyDescent="0.2">
      <c r="A90">
        <v>6952</v>
      </c>
      <c r="B90" s="342">
        <v>24100</v>
      </c>
      <c r="C90" t="s">
        <v>292</v>
      </c>
      <c r="D90">
        <v>0</v>
      </c>
      <c r="E90">
        <v>0</v>
      </c>
      <c r="F90">
        <v>0</v>
      </c>
      <c r="G90">
        <v>0</v>
      </c>
      <c r="H90">
        <v>0</v>
      </c>
      <c r="I90">
        <v>0</v>
      </c>
      <c r="J90">
        <v>0</v>
      </c>
      <c r="K90">
        <v>0</v>
      </c>
      <c r="L90">
        <v>0</v>
      </c>
      <c r="M90">
        <v>0</v>
      </c>
      <c r="N90">
        <v>0</v>
      </c>
    </row>
    <row r="91" spans="1:14" ht="12.75" x14ac:dyDescent="0.2">
      <c r="A91">
        <v>6952</v>
      </c>
      <c r="B91" s="342">
        <v>24200</v>
      </c>
      <c r="C91" t="s">
        <v>293</v>
      </c>
      <c r="D91">
        <v>0</v>
      </c>
      <c r="E91">
        <v>-236.52</v>
      </c>
      <c r="F91">
        <v>0</v>
      </c>
      <c r="G91">
        <v>-238.26</v>
      </c>
      <c r="H91">
        <v>-238.26</v>
      </c>
      <c r="I91">
        <v>0</v>
      </c>
      <c r="J91">
        <v>0</v>
      </c>
      <c r="K91">
        <v>0</v>
      </c>
      <c r="L91">
        <v>0</v>
      </c>
      <c r="M91">
        <v>0</v>
      </c>
      <c r="N91">
        <v>0</v>
      </c>
    </row>
    <row r="92" spans="1:14" ht="12.75" x14ac:dyDescent="0.2">
      <c r="A92">
        <v>6952</v>
      </c>
      <c r="B92" s="342">
        <v>24300</v>
      </c>
      <c r="C92" t="s">
        <v>294</v>
      </c>
      <c r="D92">
        <v>0</v>
      </c>
      <c r="E92">
        <v>27.74</v>
      </c>
      <c r="F92">
        <v>0</v>
      </c>
      <c r="G92">
        <v>1160.51</v>
      </c>
      <c r="H92">
        <v>1160.51</v>
      </c>
      <c r="I92">
        <v>0</v>
      </c>
      <c r="J92">
        <v>0</v>
      </c>
      <c r="K92">
        <v>27.74</v>
      </c>
      <c r="L92">
        <v>1160.51</v>
      </c>
      <c r="M92">
        <v>1160.51</v>
      </c>
      <c r="N92">
        <v>0</v>
      </c>
    </row>
    <row r="93" spans="1:14" ht="12.75" x14ac:dyDescent="0.2">
      <c r="A93">
        <v>6952</v>
      </c>
      <c r="B93" s="342">
        <v>24400</v>
      </c>
      <c r="C93" t="s">
        <v>31</v>
      </c>
      <c r="D93">
        <v>-7042.11</v>
      </c>
      <c r="E93">
        <v>-30543.42</v>
      </c>
      <c r="F93">
        <v>0</v>
      </c>
      <c r="G93">
        <v>-35037.72</v>
      </c>
      <c r="H93">
        <v>-35037.72</v>
      </c>
      <c r="I93">
        <v>0</v>
      </c>
      <c r="J93">
        <v>-7042.11</v>
      </c>
      <c r="K93">
        <v>0</v>
      </c>
      <c r="L93">
        <v>0</v>
      </c>
      <c r="M93">
        <v>0</v>
      </c>
      <c r="N93">
        <v>0</v>
      </c>
    </row>
    <row r="94" spans="1:14" ht="12.75" x14ac:dyDescent="0.2">
      <c r="A94">
        <v>6952</v>
      </c>
      <c r="B94" s="342">
        <v>24500</v>
      </c>
      <c r="C94" t="s">
        <v>32</v>
      </c>
      <c r="D94">
        <v>305.48</v>
      </c>
      <c r="E94">
        <v>9461.5499999999993</v>
      </c>
      <c r="F94">
        <v>0</v>
      </c>
      <c r="G94">
        <v>34766.629999999997</v>
      </c>
      <c r="H94">
        <v>34766.629999999997</v>
      </c>
      <c r="I94">
        <v>0</v>
      </c>
      <c r="J94">
        <v>305.48</v>
      </c>
      <c r="K94">
        <v>9461.5499999999993</v>
      </c>
      <c r="L94">
        <v>34766.629999999997</v>
      </c>
      <c r="M94">
        <v>34766.629999999997</v>
      </c>
      <c r="N94">
        <v>0</v>
      </c>
    </row>
    <row r="95" spans="1:14" ht="12.75" x14ac:dyDescent="0.2">
      <c r="A95">
        <v>6952</v>
      </c>
      <c r="B95" s="342">
        <v>24600</v>
      </c>
      <c r="C95" t="s">
        <v>33</v>
      </c>
      <c r="D95">
        <v>-164.47</v>
      </c>
      <c r="E95">
        <v>-13574.82</v>
      </c>
      <c r="F95">
        <v>-18900</v>
      </c>
      <c r="G95">
        <v>-29725.37</v>
      </c>
      <c r="H95">
        <v>-29725.37</v>
      </c>
      <c r="I95">
        <v>-18900</v>
      </c>
      <c r="J95">
        <v>-164.47</v>
      </c>
      <c r="K95">
        <v>0</v>
      </c>
      <c r="L95">
        <v>0</v>
      </c>
      <c r="M95">
        <v>0</v>
      </c>
      <c r="N95">
        <v>0</v>
      </c>
    </row>
    <row r="96" spans="1:14" ht="12.75" x14ac:dyDescent="0.2">
      <c r="A96">
        <v>6952</v>
      </c>
      <c r="B96" s="342">
        <v>24650</v>
      </c>
      <c r="C96" t="s">
        <v>34</v>
      </c>
      <c r="D96">
        <v>3480.28</v>
      </c>
      <c r="E96">
        <v>8875.2099999999991</v>
      </c>
      <c r="F96">
        <v>18900</v>
      </c>
      <c r="G96">
        <v>879.86</v>
      </c>
      <c r="H96">
        <v>879.86</v>
      </c>
      <c r="I96">
        <v>18900</v>
      </c>
      <c r="J96">
        <v>3480.28</v>
      </c>
      <c r="K96">
        <v>8875.2099999999991</v>
      </c>
      <c r="L96">
        <v>879.86</v>
      </c>
      <c r="M96">
        <v>879.86</v>
      </c>
      <c r="N96">
        <v>0</v>
      </c>
    </row>
    <row r="97" spans="1:14" ht="12.75" x14ac:dyDescent="0.2">
      <c r="A97">
        <v>6952</v>
      </c>
      <c r="B97" s="342">
        <v>24700</v>
      </c>
      <c r="C97" t="s">
        <v>35</v>
      </c>
      <c r="D97">
        <v>-3142.67</v>
      </c>
      <c r="E97">
        <v>-30729.4</v>
      </c>
      <c r="F97">
        <v>-37800</v>
      </c>
      <c r="G97">
        <v>-24257.1</v>
      </c>
      <c r="H97">
        <v>-24257.1</v>
      </c>
      <c r="I97">
        <v>-37800</v>
      </c>
      <c r="J97">
        <v>-3142.67</v>
      </c>
      <c r="K97">
        <v>0</v>
      </c>
      <c r="L97">
        <v>0</v>
      </c>
      <c r="M97">
        <v>0</v>
      </c>
      <c r="N97">
        <v>0</v>
      </c>
    </row>
    <row r="98" spans="1:14" ht="12.75" x14ac:dyDescent="0.2">
      <c r="A98">
        <v>6952</v>
      </c>
      <c r="B98" s="342">
        <v>24750</v>
      </c>
      <c r="C98" t="s">
        <v>36</v>
      </c>
      <c r="D98">
        <v>0</v>
      </c>
      <c r="E98">
        <v>962.06</v>
      </c>
      <c r="F98">
        <v>37800</v>
      </c>
      <c r="G98">
        <v>3891.07</v>
      </c>
      <c r="H98">
        <v>3891.07</v>
      </c>
      <c r="I98">
        <v>37800</v>
      </c>
      <c r="J98">
        <v>0</v>
      </c>
      <c r="K98">
        <v>1104.23</v>
      </c>
      <c r="L98">
        <v>3891.07</v>
      </c>
      <c r="M98">
        <v>3891.07</v>
      </c>
      <c r="N98">
        <v>0</v>
      </c>
    </row>
    <row r="99" spans="1:14" ht="12.75" x14ac:dyDescent="0.2">
      <c r="A99">
        <v>6952</v>
      </c>
      <c r="B99" s="342">
        <v>24800</v>
      </c>
      <c r="C99" t="s">
        <v>37</v>
      </c>
      <c r="D99">
        <v>0</v>
      </c>
      <c r="E99">
        <v>0</v>
      </c>
      <c r="F99">
        <v>0</v>
      </c>
      <c r="G99">
        <v>0</v>
      </c>
      <c r="H99">
        <v>0</v>
      </c>
      <c r="I99">
        <v>0</v>
      </c>
      <c r="J99">
        <v>0</v>
      </c>
      <c r="K99">
        <v>0</v>
      </c>
      <c r="L99">
        <v>0</v>
      </c>
      <c r="M99">
        <v>0</v>
      </c>
      <c r="N99">
        <v>0</v>
      </c>
    </row>
    <row r="100" spans="1:14" ht="12.75" x14ac:dyDescent="0.2">
      <c r="A100">
        <v>6952</v>
      </c>
      <c r="B100" s="342">
        <v>24801</v>
      </c>
      <c r="C100" t="s">
        <v>38</v>
      </c>
      <c r="D100">
        <v>0</v>
      </c>
      <c r="E100">
        <v>0</v>
      </c>
      <c r="F100">
        <v>0</v>
      </c>
      <c r="G100">
        <v>0</v>
      </c>
      <c r="H100">
        <v>0</v>
      </c>
      <c r="I100">
        <v>0</v>
      </c>
      <c r="J100">
        <v>0</v>
      </c>
      <c r="K100">
        <v>0</v>
      </c>
      <c r="L100">
        <v>0</v>
      </c>
      <c r="M100">
        <v>0</v>
      </c>
      <c r="N100">
        <v>0</v>
      </c>
    </row>
    <row r="101" spans="1:14" ht="12.75" x14ac:dyDescent="0.2">
      <c r="A101">
        <v>6952</v>
      </c>
      <c r="B101" s="342">
        <v>24802</v>
      </c>
      <c r="C101" t="s">
        <v>39</v>
      </c>
      <c r="D101">
        <v>0</v>
      </c>
      <c r="E101">
        <v>-391.32</v>
      </c>
      <c r="F101">
        <v>0</v>
      </c>
      <c r="G101">
        <v>0</v>
      </c>
      <c r="H101">
        <v>0</v>
      </c>
      <c r="I101">
        <v>0</v>
      </c>
      <c r="J101">
        <v>0</v>
      </c>
      <c r="K101">
        <v>0</v>
      </c>
      <c r="L101">
        <v>0</v>
      </c>
      <c r="M101">
        <v>0</v>
      </c>
      <c r="N101">
        <v>0</v>
      </c>
    </row>
    <row r="102" spans="1:14" ht="12.75" x14ac:dyDescent="0.2">
      <c r="A102">
        <v>6952</v>
      </c>
      <c r="B102" s="342">
        <v>24803</v>
      </c>
      <c r="C102" t="s">
        <v>40</v>
      </c>
      <c r="D102">
        <v>0</v>
      </c>
      <c r="E102">
        <v>352.9</v>
      </c>
      <c r="F102">
        <v>0</v>
      </c>
      <c r="G102">
        <v>0</v>
      </c>
      <c r="H102">
        <v>0</v>
      </c>
      <c r="I102">
        <v>0</v>
      </c>
      <c r="J102">
        <v>0</v>
      </c>
      <c r="K102">
        <v>352.9</v>
      </c>
      <c r="L102">
        <v>0</v>
      </c>
      <c r="M102">
        <v>0</v>
      </c>
      <c r="N102">
        <v>0</v>
      </c>
    </row>
    <row r="103" spans="1:14" ht="12.75" x14ac:dyDescent="0.2">
      <c r="A103">
        <v>6952</v>
      </c>
      <c r="B103" s="342">
        <v>24804</v>
      </c>
      <c r="C103" t="s">
        <v>1104</v>
      </c>
      <c r="D103">
        <v>0</v>
      </c>
      <c r="E103">
        <v>-2009.85</v>
      </c>
      <c r="F103">
        <v>0</v>
      </c>
      <c r="G103">
        <v>-1471.35</v>
      </c>
      <c r="H103">
        <v>-1471.35</v>
      </c>
      <c r="I103">
        <v>0</v>
      </c>
      <c r="J103">
        <v>0</v>
      </c>
      <c r="K103">
        <v>0</v>
      </c>
      <c r="L103">
        <v>-80</v>
      </c>
      <c r="M103">
        <v>-80</v>
      </c>
      <c r="N103">
        <v>0</v>
      </c>
    </row>
    <row r="104" spans="1:14" ht="12.75" x14ac:dyDescent="0.2">
      <c r="A104">
        <v>6952</v>
      </c>
      <c r="B104" s="342">
        <v>24805</v>
      </c>
      <c r="C104" t="s">
        <v>1105</v>
      </c>
      <c r="D104">
        <v>168.45</v>
      </c>
      <c r="E104">
        <v>1379.91</v>
      </c>
      <c r="F104">
        <v>0</v>
      </c>
      <c r="G104">
        <v>1491.17</v>
      </c>
      <c r="H104">
        <v>1491.17</v>
      </c>
      <c r="I104">
        <v>0</v>
      </c>
      <c r="J104">
        <v>168.45</v>
      </c>
      <c r="K104">
        <v>1379.91</v>
      </c>
      <c r="L104">
        <v>1491.17</v>
      </c>
      <c r="M104">
        <v>1491.17</v>
      </c>
      <c r="N104">
        <v>0</v>
      </c>
    </row>
    <row r="105" spans="1:14" ht="12.75" x14ac:dyDescent="0.2">
      <c r="A105">
        <v>6952</v>
      </c>
      <c r="B105" s="342">
        <v>24820</v>
      </c>
      <c r="C105" t="s">
        <v>41</v>
      </c>
      <c r="D105">
        <v>0</v>
      </c>
      <c r="E105">
        <v>0</v>
      </c>
      <c r="F105">
        <v>0</v>
      </c>
      <c r="G105">
        <v>0</v>
      </c>
      <c r="H105">
        <v>0</v>
      </c>
      <c r="I105">
        <v>0</v>
      </c>
      <c r="J105">
        <v>0</v>
      </c>
      <c r="K105">
        <v>0</v>
      </c>
      <c r="L105">
        <v>0</v>
      </c>
      <c r="M105">
        <v>0</v>
      </c>
      <c r="N105">
        <v>0</v>
      </c>
    </row>
    <row r="106" spans="1:14" ht="12.75" x14ac:dyDescent="0.2">
      <c r="A106">
        <v>6952</v>
      </c>
      <c r="B106" s="342">
        <v>24821</v>
      </c>
      <c r="C106" t="s">
        <v>42</v>
      </c>
      <c r="D106">
        <v>0</v>
      </c>
      <c r="E106">
        <v>0</v>
      </c>
      <c r="F106">
        <v>0</v>
      </c>
      <c r="G106">
        <v>0</v>
      </c>
      <c r="H106">
        <v>0</v>
      </c>
      <c r="I106">
        <v>0</v>
      </c>
      <c r="J106">
        <v>0</v>
      </c>
      <c r="K106">
        <v>0</v>
      </c>
      <c r="L106">
        <v>0</v>
      </c>
      <c r="M106">
        <v>0</v>
      </c>
      <c r="N106">
        <v>0</v>
      </c>
    </row>
    <row r="107" spans="1:14" ht="12.75" x14ac:dyDescent="0.2">
      <c r="A107">
        <v>6952</v>
      </c>
      <c r="B107" s="342">
        <v>24830</v>
      </c>
      <c r="C107" t="s">
        <v>43</v>
      </c>
      <c r="D107">
        <v>0</v>
      </c>
      <c r="E107">
        <v>-8487.2000000000007</v>
      </c>
      <c r="F107">
        <v>-9450</v>
      </c>
      <c r="G107">
        <v>-31456.69</v>
      </c>
      <c r="H107">
        <v>-31456.69</v>
      </c>
      <c r="I107">
        <v>-9450</v>
      </c>
      <c r="J107">
        <v>0</v>
      </c>
      <c r="K107">
        <v>16406.080000000002</v>
      </c>
      <c r="L107">
        <v>0</v>
      </c>
      <c r="M107">
        <v>0</v>
      </c>
      <c r="N107">
        <v>0</v>
      </c>
    </row>
    <row r="108" spans="1:14" ht="12.75" x14ac:dyDescent="0.2">
      <c r="A108">
        <v>6952</v>
      </c>
      <c r="B108" s="342">
        <v>24831</v>
      </c>
      <c r="C108" t="s">
        <v>44</v>
      </c>
      <c r="D108">
        <v>924.24</v>
      </c>
      <c r="E108">
        <v>19124.400000000001</v>
      </c>
      <c r="F108">
        <v>9450</v>
      </c>
      <c r="G108">
        <v>15101.75</v>
      </c>
      <c r="H108">
        <v>15101.75</v>
      </c>
      <c r="I108">
        <v>9450</v>
      </c>
      <c r="J108">
        <v>924.24</v>
      </c>
      <c r="K108">
        <v>19559.18</v>
      </c>
      <c r="L108">
        <v>15101.75</v>
      </c>
      <c r="M108">
        <v>15101.75</v>
      </c>
      <c r="N108">
        <v>0</v>
      </c>
    </row>
    <row r="109" spans="1:14" ht="12.75" x14ac:dyDescent="0.2">
      <c r="A109">
        <v>6952</v>
      </c>
      <c r="B109" s="342">
        <v>24840</v>
      </c>
      <c r="C109" t="s">
        <v>45</v>
      </c>
      <c r="D109">
        <v>0</v>
      </c>
      <c r="E109">
        <v>-643.5</v>
      </c>
      <c r="F109">
        <v>0</v>
      </c>
      <c r="G109">
        <v>-444.34</v>
      </c>
      <c r="H109">
        <v>-444.34</v>
      </c>
      <c r="I109">
        <v>0</v>
      </c>
      <c r="J109">
        <v>0</v>
      </c>
      <c r="K109">
        <v>43.48</v>
      </c>
      <c r="L109">
        <v>0</v>
      </c>
      <c r="M109">
        <v>0</v>
      </c>
      <c r="N109">
        <v>0</v>
      </c>
    </row>
    <row r="110" spans="1:14" ht="12.75" x14ac:dyDescent="0.2">
      <c r="A110">
        <v>6952</v>
      </c>
      <c r="B110" s="342">
        <v>24841</v>
      </c>
      <c r="C110" t="s">
        <v>295</v>
      </c>
      <c r="D110">
        <v>0</v>
      </c>
      <c r="E110">
        <v>170.8</v>
      </c>
      <c r="F110">
        <v>0</v>
      </c>
      <c r="G110">
        <v>0</v>
      </c>
      <c r="H110">
        <v>0</v>
      </c>
      <c r="I110">
        <v>0</v>
      </c>
      <c r="J110">
        <v>0</v>
      </c>
      <c r="K110">
        <v>170.8</v>
      </c>
      <c r="L110">
        <v>0</v>
      </c>
      <c r="M110">
        <v>0</v>
      </c>
      <c r="N110">
        <v>0</v>
      </c>
    </row>
    <row r="111" spans="1:14" ht="12.75" x14ac:dyDescent="0.2">
      <c r="A111">
        <v>6952</v>
      </c>
      <c r="B111" s="342">
        <v>24850</v>
      </c>
      <c r="C111" t="s">
        <v>46</v>
      </c>
      <c r="D111">
        <v>-145.91999999999999</v>
      </c>
      <c r="E111">
        <v>-1950.65</v>
      </c>
      <c r="F111">
        <v>0</v>
      </c>
      <c r="G111">
        <v>-477.68</v>
      </c>
      <c r="H111">
        <v>-477.68</v>
      </c>
      <c r="I111">
        <v>0</v>
      </c>
      <c r="J111">
        <v>-145.91999999999999</v>
      </c>
      <c r="K111">
        <v>0</v>
      </c>
      <c r="L111">
        <v>0</v>
      </c>
      <c r="M111">
        <v>0</v>
      </c>
      <c r="N111">
        <v>0</v>
      </c>
    </row>
    <row r="112" spans="1:14" ht="12.75" x14ac:dyDescent="0.2">
      <c r="A112">
        <v>6952</v>
      </c>
      <c r="B112" s="342">
        <v>24851</v>
      </c>
      <c r="C112" t="s">
        <v>55</v>
      </c>
      <c r="D112">
        <v>0</v>
      </c>
      <c r="E112">
        <v>0</v>
      </c>
      <c r="F112">
        <v>0</v>
      </c>
      <c r="G112">
        <v>0</v>
      </c>
      <c r="H112">
        <v>0</v>
      </c>
      <c r="I112">
        <v>0</v>
      </c>
      <c r="J112">
        <v>0</v>
      </c>
      <c r="K112">
        <v>0</v>
      </c>
      <c r="L112">
        <v>0</v>
      </c>
      <c r="M112">
        <v>0</v>
      </c>
      <c r="N112">
        <v>0</v>
      </c>
    </row>
    <row r="113" spans="1:14" ht="12.75" x14ac:dyDescent="0.2">
      <c r="A113">
        <v>6952</v>
      </c>
      <c r="B113" s="342">
        <v>24860</v>
      </c>
      <c r="C113" t="s">
        <v>56</v>
      </c>
      <c r="D113">
        <v>-15.17</v>
      </c>
      <c r="E113">
        <v>-13035.95</v>
      </c>
      <c r="F113">
        <v>-9450</v>
      </c>
      <c r="G113">
        <v>-16036.01</v>
      </c>
      <c r="H113">
        <v>-16036.01</v>
      </c>
      <c r="I113">
        <v>-9450</v>
      </c>
      <c r="J113">
        <v>-15.17</v>
      </c>
      <c r="K113">
        <v>0</v>
      </c>
      <c r="L113">
        <v>0</v>
      </c>
      <c r="M113">
        <v>0</v>
      </c>
      <c r="N113">
        <v>0</v>
      </c>
    </row>
    <row r="114" spans="1:14" ht="12.75" x14ac:dyDescent="0.2">
      <c r="A114">
        <v>6952</v>
      </c>
      <c r="B114" s="342">
        <v>24861</v>
      </c>
      <c r="C114" t="s">
        <v>57</v>
      </c>
      <c r="D114">
        <v>185.01</v>
      </c>
      <c r="E114">
        <v>1514.39</v>
      </c>
      <c r="F114">
        <v>9450</v>
      </c>
      <c r="G114">
        <v>1155.3499999999999</v>
      </c>
      <c r="H114">
        <v>1155.3499999999999</v>
      </c>
      <c r="I114">
        <v>9450</v>
      </c>
      <c r="J114">
        <v>185.01</v>
      </c>
      <c r="K114">
        <v>1514.39</v>
      </c>
      <c r="L114">
        <v>1155.3499999999999</v>
      </c>
      <c r="M114">
        <v>1155.3499999999999</v>
      </c>
      <c r="N114">
        <v>0</v>
      </c>
    </row>
    <row r="115" spans="1:14" ht="12.75" x14ac:dyDescent="0.2">
      <c r="A115">
        <v>6952</v>
      </c>
      <c r="B115" s="342">
        <v>24870</v>
      </c>
      <c r="C115" t="s">
        <v>58</v>
      </c>
      <c r="D115">
        <v>-14</v>
      </c>
      <c r="E115">
        <v>-1408.92</v>
      </c>
      <c r="F115">
        <v>0</v>
      </c>
      <c r="G115">
        <v>0</v>
      </c>
      <c r="H115">
        <v>0</v>
      </c>
      <c r="I115">
        <v>0</v>
      </c>
      <c r="J115">
        <v>-14</v>
      </c>
      <c r="K115">
        <v>0</v>
      </c>
      <c r="L115">
        <v>0</v>
      </c>
      <c r="M115">
        <v>0</v>
      </c>
      <c r="N115">
        <v>0</v>
      </c>
    </row>
    <row r="116" spans="1:14" ht="12.75" x14ac:dyDescent="0.2">
      <c r="A116">
        <v>6952</v>
      </c>
      <c r="B116" s="342">
        <v>24871</v>
      </c>
      <c r="C116" t="s">
        <v>59</v>
      </c>
      <c r="D116">
        <v>0</v>
      </c>
      <c r="E116">
        <v>1149.33</v>
      </c>
      <c r="F116">
        <v>0</v>
      </c>
      <c r="G116">
        <v>0</v>
      </c>
      <c r="H116">
        <v>0</v>
      </c>
      <c r="I116">
        <v>0</v>
      </c>
      <c r="J116">
        <v>0</v>
      </c>
      <c r="K116">
        <v>1149.33</v>
      </c>
      <c r="L116">
        <v>0</v>
      </c>
      <c r="M116">
        <v>0</v>
      </c>
      <c r="N116">
        <v>0</v>
      </c>
    </row>
    <row r="117" spans="1:14" ht="12.75" x14ac:dyDescent="0.2">
      <c r="A117">
        <v>6952</v>
      </c>
      <c r="B117" s="342">
        <v>24880</v>
      </c>
      <c r="C117" t="s">
        <v>60</v>
      </c>
      <c r="D117">
        <v>0</v>
      </c>
      <c r="E117">
        <v>0</v>
      </c>
      <c r="F117">
        <v>-9450</v>
      </c>
      <c r="G117">
        <v>0</v>
      </c>
      <c r="H117">
        <v>0</v>
      </c>
      <c r="I117">
        <v>-9450</v>
      </c>
      <c r="J117">
        <v>0</v>
      </c>
      <c r="K117">
        <v>0</v>
      </c>
      <c r="L117">
        <v>0</v>
      </c>
      <c r="M117">
        <v>0</v>
      </c>
      <c r="N117">
        <v>0</v>
      </c>
    </row>
    <row r="118" spans="1:14" ht="12.75" x14ac:dyDescent="0.2">
      <c r="A118">
        <v>6952</v>
      </c>
      <c r="B118" s="342">
        <v>24881</v>
      </c>
      <c r="C118" t="s">
        <v>61</v>
      </c>
      <c r="D118">
        <v>0</v>
      </c>
      <c r="E118">
        <v>0</v>
      </c>
      <c r="F118">
        <v>9450</v>
      </c>
      <c r="G118">
        <v>0</v>
      </c>
      <c r="H118">
        <v>0</v>
      </c>
      <c r="I118">
        <v>9450</v>
      </c>
      <c r="J118">
        <v>0</v>
      </c>
      <c r="K118">
        <v>0</v>
      </c>
      <c r="L118">
        <v>0</v>
      </c>
      <c r="M118">
        <v>0</v>
      </c>
      <c r="N118">
        <v>0</v>
      </c>
    </row>
    <row r="119" spans="1:14" ht="12.75" x14ac:dyDescent="0.2">
      <c r="A119">
        <v>6952</v>
      </c>
      <c r="B119" s="342">
        <v>24890</v>
      </c>
      <c r="C119" t="s">
        <v>62</v>
      </c>
      <c r="D119">
        <v>0</v>
      </c>
      <c r="E119">
        <v>0</v>
      </c>
      <c r="F119">
        <v>0</v>
      </c>
      <c r="G119">
        <v>0</v>
      </c>
      <c r="H119">
        <v>0</v>
      </c>
      <c r="I119">
        <v>0</v>
      </c>
      <c r="J119">
        <v>0</v>
      </c>
      <c r="K119">
        <v>0</v>
      </c>
      <c r="L119">
        <v>0</v>
      </c>
      <c r="M119">
        <v>0</v>
      </c>
      <c r="N119">
        <v>0</v>
      </c>
    </row>
    <row r="120" spans="1:14" ht="12.75" x14ac:dyDescent="0.2">
      <c r="A120">
        <v>6952</v>
      </c>
      <c r="B120" s="342">
        <v>24891</v>
      </c>
      <c r="C120" t="s">
        <v>63</v>
      </c>
      <c r="D120">
        <v>0</v>
      </c>
      <c r="E120">
        <v>121.74</v>
      </c>
      <c r="F120">
        <v>0</v>
      </c>
      <c r="G120">
        <v>0</v>
      </c>
      <c r="H120">
        <v>0</v>
      </c>
      <c r="I120">
        <v>0</v>
      </c>
      <c r="J120">
        <v>0</v>
      </c>
      <c r="K120">
        <v>121.74</v>
      </c>
      <c r="L120">
        <v>0</v>
      </c>
      <c r="M120">
        <v>0</v>
      </c>
      <c r="N120">
        <v>0</v>
      </c>
    </row>
    <row r="121" spans="1:14" ht="12.75" x14ac:dyDescent="0.2">
      <c r="A121">
        <v>6952</v>
      </c>
      <c r="B121" s="342">
        <v>24900</v>
      </c>
      <c r="C121" t="s">
        <v>64</v>
      </c>
      <c r="D121">
        <v>-2486.38</v>
      </c>
      <c r="E121">
        <v>-46718.37</v>
      </c>
      <c r="F121">
        <v>-37800</v>
      </c>
      <c r="G121">
        <v>-45936.71</v>
      </c>
      <c r="H121">
        <v>-45936.71</v>
      </c>
      <c r="I121">
        <v>-37800</v>
      </c>
      <c r="J121">
        <v>-2486.38</v>
      </c>
      <c r="K121">
        <v>0</v>
      </c>
      <c r="L121">
        <v>0</v>
      </c>
      <c r="M121">
        <v>0</v>
      </c>
      <c r="N121">
        <v>0</v>
      </c>
    </row>
    <row r="122" spans="1:14" ht="12.75" x14ac:dyDescent="0.2">
      <c r="A122">
        <v>6952</v>
      </c>
      <c r="B122" s="342">
        <v>24901</v>
      </c>
      <c r="C122" t="s">
        <v>65</v>
      </c>
      <c r="D122">
        <v>7824.15</v>
      </c>
      <c r="E122">
        <v>70734.25</v>
      </c>
      <c r="F122">
        <v>37800</v>
      </c>
      <c r="G122">
        <v>41333.919999999998</v>
      </c>
      <c r="H122">
        <v>41333.919999999998</v>
      </c>
      <c r="I122">
        <v>37800</v>
      </c>
      <c r="J122">
        <v>7824.15</v>
      </c>
      <c r="K122">
        <v>70734.25</v>
      </c>
      <c r="L122">
        <v>41333.919999999998</v>
      </c>
      <c r="M122">
        <v>41333.919999999998</v>
      </c>
      <c r="N122">
        <v>0</v>
      </c>
    </row>
    <row r="123" spans="1:14" ht="12.75" x14ac:dyDescent="0.2">
      <c r="A123">
        <v>6952</v>
      </c>
      <c r="B123" s="342">
        <v>25100</v>
      </c>
      <c r="C123" t="s">
        <v>1662</v>
      </c>
      <c r="D123">
        <v>0</v>
      </c>
      <c r="E123">
        <v>-235304.34</v>
      </c>
      <c r="F123">
        <v>-297000</v>
      </c>
      <c r="G123">
        <v>-232793.92</v>
      </c>
      <c r="H123">
        <v>-232793.92</v>
      </c>
      <c r="I123">
        <v>-297000</v>
      </c>
      <c r="J123">
        <v>0</v>
      </c>
      <c r="K123">
        <v>0</v>
      </c>
      <c r="L123">
        <v>0</v>
      </c>
      <c r="M123">
        <v>0</v>
      </c>
      <c r="N123">
        <v>0</v>
      </c>
    </row>
    <row r="124" spans="1:14" ht="12.75" x14ac:dyDescent="0.2">
      <c r="A124">
        <v>6952</v>
      </c>
      <c r="B124" s="342">
        <v>25150</v>
      </c>
      <c r="C124" t="s">
        <v>881</v>
      </c>
      <c r="D124">
        <v>13080.86</v>
      </c>
      <c r="E124">
        <v>387388.87</v>
      </c>
      <c r="F124">
        <v>297000</v>
      </c>
      <c r="G124">
        <v>300994.21000000002</v>
      </c>
      <c r="H124">
        <v>300994.21000000002</v>
      </c>
      <c r="I124">
        <v>297000</v>
      </c>
      <c r="J124">
        <v>13080.86</v>
      </c>
      <c r="K124">
        <v>419496.87</v>
      </c>
      <c r="L124">
        <v>300994.21000000002</v>
      </c>
      <c r="M124">
        <v>300994.21000000002</v>
      </c>
      <c r="N124">
        <v>0</v>
      </c>
    </row>
    <row r="125" spans="1:14" ht="12.75" x14ac:dyDescent="0.2">
      <c r="A125">
        <v>6952</v>
      </c>
      <c r="B125">
        <v>2900</v>
      </c>
      <c r="C125" t="s">
        <v>296</v>
      </c>
      <c r="D125">
        <v>0</v>
      </c>
      <c r="E125">
        <v>0</v>
      </c>
      <c r="F125">
        <v>0</v>
      </c>
      <c r="G125">
        <v>0</v>
      </c>
      <c r="H125">
        <v>0</v>
      </c>
      <c r="I125">
        <v>0</v>
      </c>
      <c r="J125">
        <v>0</v>
      </c>
      <c r="K125">
        <v>0</v>
      </c>
      <c r="L125">
        <v>0</v>
      </c>
      <c r="M125">
        <v>0</v>
      </c>
      <c r="N125">
        <v>0</v>
      </c>
    </row>
    <row r="126" spans="1:14" ht="12.75" x14ac:dyDescent="0.2">
      <c r="A126">
        <v>6952</v>
      </c>
      <c r="B126" s="342">
        <v>2910</v>
      </c>
      <c r="C126" t="s">
        <v>612</v>
      </c>
      <c r="D126">
        <v>66957.240000000005</v>
      </c>
      <c r="E126">
        <v>713410.02</v>
      </c>
      <c r="F126">
        <v>809000</v>
      </c>
      <c r="G126">
        <v>629498.22</v>
      </c>
      <c r="H126">
        <v>629498.22</v>
      </c>
      <c r="I126">
        <v>809000</v>
      </c>
      <c r="J126">
        <v>66957.240000000005</v>
      </c>
      <c r="K126">
        <v>713410.02</v>
      </c>
      <c r="L126">
        <v>629498.22</v>
      </c>
      <c r="M126">
        <v>629498.22</v>
      </c>
      <c r="N126">
        <v>0</v>
      </c>
    </row>
    <row r="127" spans="1:14" ht="12.75" x14ac:dyDescent="0.2">
      <c r="A127">
        <v>6952</v>
      </c>
      <c r="B127" s="342">
        <v>2920</v>
      </c>
      <c r="C127" t="s">
        <v>125</v>
      </c>
      <c r="D127">
        <v>12910.58</v>
      </c>
      <c r="E127">
        <v>12910.58</v>
      </c>
      <c r="F127">
        <v>0</v>
      </c>
      <c r="G127">
        <v>8986.23</v>
      </c>
      <c r="H127">
        <v>8986.23</v>
      </c>
      <c r="I127">
        <v>0</v>
      </c>
      <c r="J127">
        <v>12910.58</v>
      </c>
      <c r="K127">
        <v>12910.58</v>
      </c>
      <c r="L127">
        <v>8986.23</v>
      </c>
      <c r="M127">
        <v>8986.23</v>
      </c>
      <c r="N127">
        <v>0</v>
      </c>
    </row>
    <row r="128" spans="1:14" ht="12.75" x14ac:dyDescent="0.2">
      <c r="A128">
        <v>6952</v>
      </c>
      <c r="B128" s="342">
        <v>2930</v>
      </c>
      <c r="C128" t="s">
        <v>126</v>
      </c>
      <c r="D128">
        <v>0</v>
      </c>
      <c r="E128">
        <v>0</v>
      </c>
      <c r="F128">
        <v>0</v>
      </c>
      <c r="G128">
        <v>-234.78</v>
      </c>
      <c r="H128">
        <v>-234.78</v>
      </c>
      <c r="I128">
        <v>0</v>
      </c>
      <c r="J128">
        <v>0</v>
      </c>
      <c r="K128">
        <v>0</v>
      </c>
      <c r="L128">
        <v>0</v>
      </c>
      <c r="M128">
        <v>0</v>
      </c>
      <c r="N128">
        <v>0</v>
      </c>
    </row>
    <row r="129" spans="1:14" ht="12.75" x14ac:dyDescent="0.2">
      <c r="A129">
        <v>6952</v>
      </c>
      <c r="B129">
        <v>2990</v>
      </c>
      <c r="C129" t="s">
        <v>297</v>
      </c>
      <c r="D129">
        <v>0</v>
      </c>
      <c r="E129">
        <v>0</v>
      </c>
      <c r="F129">
        <v>0</v>
      </c>
      <c r="G129">
        <v>0</v>
      </c>
      <c r="H129">
        <v>0</v>
      </c>
      <c r="I129">
        <v>0</v>
      </c>
      <c r="J129">
        <v>0</v>
      </c>
      <c r="K129">
        <v>0</v>
      </c>
      <c r="L129">
        <v>0</v>
      </c>
      <c r="M129">
        <v>0</v>
      </c>
      <c r="N129">
        <v>0</v>
      </c>
    </row>
    <row r="130" spans="1:14" ht="12.75" x14ac:dyDescent="0.2">
      <c r="A130">
        <v>6952</v>
      </c>
      <c r="B130" s="342">
        <v>30100</v>
      </c>
      <c r="C130" t="s">
        <v>299</v>
      </c>
      <c r="D130">
        <v>419.35</v>
      </c>
      <c r="E130">
        <v>6566.57</v>
      </c>
      <c r="F130">
        <v>8000</v>
      </c>
      <c r="G130">
        <v>4625.7</v>
      </c>
      <c r="H130">
        <v>4625.7</v>
      </c>
      <c r="I130">
        <v>8000</v>
      </c>
      <c r="J130">
        <v>419.35</v>
      </c>
      <c r="K130">
        <v>6566.57</v>
      </c>
      <c r="L130">
        <v>4625.7</v>
      </c>
      <c r="M130">
        <v>4625.7</v>
      </c>
      <c r="N130">
        <v>0</v>
      </c>
    </row>
    <row r="131" spans="1:14" ht="12.75" x14ac:dyDescent="0.2">
      <c r="A131">
        <v>6952</v>
      </c>
      <c r="B131" s="342">
        <v>30120</v>
      </c>
      <c r="C131" t="s">
        <v>300</v>
      </c>
      <c r="D131">
        <v>0</v>
      </c>
      <c r="E131">
        <v>0</v>
      </c>
      <c r="F131">
        <v>0</v>
      </c>
      <c r="G131">
        <v>0</v>
      </c>
      <c r="H131">
        <v>0</v>
      </c>
      <c r="I131">
        <v>0</v>
      </c>
      <c r="J131">
        <v>0</v>
      </c>
      <c r="K131">
        <v>0</v>
      </c>
      <c r="L131">
        <v>0</v>
      </c>
      <c r="M131">
        <v>0</v>
      </c>
      <c r="N131">
        <v>0</v>
      </c>
    </row>
    <row r="132" spans="1:14" ht="12.75" x14ac:dyDescent="0.2">
      <c r="A132">
        <v>6952</v>
      </c>
      <c r="B132" s="342">
        <v>30230</v>
      </c>
      <c r="C132" t="s">
        <v>301</v>
      </c>
      <c r="D132">
        <v>354.82</v>
      </c>
      <c r="E132">
        <v>2047.13</v>
      </c>
      <c r="F132">
        <v>3000</v>
      </c>
      <c r="G132">
        <v>1763.69</v>
      </c>
      <c r="H132">
        <v>1763.69</v>
      </c>
      <c r="I132">
        <v>3000</v>
      </c>
      <c r="J132">
        <v>354.82</v>
      </c>
      <c r="K132">
        <v>2047.13</v>
      </c>
      <c r="L132">
        <v>1763.69</v>
      </c>
      <c r="M132">
        <v>1763.69</v>
      </c>
      <c r="N132">
        <v>0</v>
      </c>
    </row>
    <row r="133" spans="1:14" ht="12.75" x14ac:dyDescent="0.2">
      <c r="A133">
        <v>6952</v>
      </c>
      <c r="B133" s="342">
        <v>30240</v>
      </c>
      <c r="C133" t="s">
        <v>302</v>
      </c>
      <c r="D133">
        <v>31.03</v>
      </c>
      <c r="E133">
        <v>335.37</v>
      </c>
      <c r="F133">
        <v>1700</v>
      </c>
      <c r="G133">
        <v>1526.25</v>
      </c>
      <c r="H133">
        <v>1526.25</v>
      </c>
      <c r="I133">
        <v>1700</v>
      </c>
      <c r="J133">
        <v>31.03</v>
      </c>
      <c r="K133">
        <v>361.5</v>
      </c>
      <c r="L133">
        <v>1538.46</v>
      </c>
      <c r="M133">
        <v>1538.46</v>
      </c>
      <c r="N133">
        <v>0</v>
      </c>
    </row>
    <row r="134" spans="1:14" ht="12.75" x14ac:dyDescent="0.2">
      <c r="A134">
        <v>6952</v>
      </c>
      <c r="B134" s="342">
        <v>30250</v>
      </c>
      <c r="C134" t="s">
        <v>303</v>
      </c>
      <c r="D134">
        <v>1671.55</v>
      </c>
      <c r="E134">
        <v>8575.76</v>
      </c>
      <c r="F134">
        <v>8000</v>
      </c>
      <c r="G134">
        <v>7987.44</v>
      </c>
      <c r="H134">
        <v>7987.44</v>
      </c>
      <c r="I134">
        <v>8000</v>
      </c>
      <c r="J134">
        <v>1671.55</v>
      </c>
      <c r="K134">
        <v>8575.76</v>
      </c>
      <c r="L134">
        <v>7987.44</v>
      </c>
      <c r="M134">
        <v>7987.44</v>
      </c>
      <c r="N134">
        <v>0</v>
      </c>
    </row>
    <row r="135" spans="1:14" ht="12.75" x14ac:dyDescent="0.2">
      <c r="A135">
        <v>6952</v>
      </c>
      <c r="B135" s="342">
        <v>30255</v>
      </c>
      <c r="C135" t="s">
        <v>1553</v>
      </c>
      <c r="D135">
        <v>7004.16</v>
      </c>
      <c r="E135">
        <v>42244.959999999999</v>
      </c>
      <c r="F135">
        <v>39250</v>
      </c>
      <c r="G135">
        <v>0</v>
      </c>
      <c r="H135">
        <v>0</v>
      </c>
      <c r="I135">
        <v>39250</v>
      </c>
      <c r="J135">
        <v>7004.16</v>
      </c>
      <c r="K135">
        <v>42244.959999999999</v>
      </c>
      <c r="L135">
        <v>0</v>
      </c>
      <c r="M135">
        <v>0</v>
      </c>
      <c r="N135">
        <v>0</v>
      </c>
    </row>
    <row r="136" spans="1:14" ht="12.75" x14ac:dyDescent="0.2">
      <c r="A136">
        <v>6952</v>
      </c>
      <c r="B136" s="342">
        <v>30330</v>
      </c>
      <c r="C136" t="s">
        <v>304</v>
      </c>
      <c r="D136">
        <v>2308.46</v>
      </c>
      <c r="E136">
        <v>37905.040000000001</v>
      </c>
      <c r="F136">
        <v>37550</v>
      </c>
      <c r="G136">
        <v>45090.78</v>
      </c>
      <c r="H136">
        <v>45090.78</v>
      </c>
      <c r="I136">
        <v>37550</v>
      </c>
      <c r="J136">
        <v>2308.46</v>
      </c>
      <c r="K136">
        <v>38812.85</v>
      </c>
      <c r="L136">
        <v>45090.78</v>
      </c>
      <c r="M136">
        <v>45090.78</v>
      </c>
      <c r="N136">
        <v>0</v>
      </c>
    </row>
    <row r="137" spans="1:14" ht="12.75" x14ac:dyDescent="0.2">
      <c r="A137">
        <v>6952</v>
      </c>
      <c r="B137" s="342">
        <v>30331</v>
      </c>
      <c r="C137" t="s">
        <v>305</v>
      </c>
      <c r="D137">
        <v>0</v>
      </c>
      <c r="E137">
        <v>0</v>
      </c>
      <c r="F137">
        <v>0</v>
      </c>
      <c r="G137">
        <v>0</v>
      </c>
      <c r="H137">
        <v>0</v>
      </c>
      <c r="I137">
        <v>0</v>
      </c>
      <c r="J137">
        <v>0</v>
      </c>
      <c r="K137">
        <v>0</v>
      </c>
      <c r="L137">
        <v>0</v>
      </c>
      <c r="M137">
        <v>0</v>
      </c>
      <c r="N137">
        <v>0</v>
      </c>
    </row>
    <row r="138" spans="1:14" ht="12.75" x14ac:dyDescent="0.2">
      <c r="A138">
        <v>6952</v>
      </c>
      <c r="B138" s="342">
        <v>30350</v>
      </c>
      <c r="C138" t="s">
        <v>306</v>
      </c>
      <c r="D138">
        <v>4104.18</v>
      </c>
      <c r="E138">
        <v>44995.85</v>
      </c>
      <c r="F138">
        <v>67230</v>
      </c>
      <c r="G138">
        <v>27163.43</v>
      </c>
      <c r="H138">
        <v>27163.43</v>
      </c>
      <c r="I138">
        <v>67230</v>
      </c>
      <c r="J138">
        <v>4104.18</v>
      </c>
      <c r="K138">
        <v>45304.91</v>
      </c>
      <c r="L138">
        <v>29411.99</v>
      </c>
      <c r="M138">
        <v>29411.99</v>
      </c>
      <c r="N138">
        <v>0</v>
      </c>
    </row>
    <row r="139" spans="1:14" ht="12.75" x14ac:dyDescent="0.2">
      <c r="A139">
        <v>6952</v>
      </c>
      <c r="B139" s="342">
        <v>30380</v>
      </c>
      <c r="C139" t="s">
        <v>307</v>
      </c>
      <c r="D139">
        <v>1349993.35</v>
      </c>
      <c r="E139">
        <v>13679767</v>
      </c>
      <c r="F139">
        <v>12500000</v>
      </c>
      <c r="G139">
        <v>12369060</v>
      </c>
      <c r="H139">
        <v>12369060</v>
      </c>
      <c r="I139">
        <v>12500000</v>
      </c>
      <c r="J139">
        <v>1349993.35</v>
      </c>
      <c r="K139">
        <v>27137382.289999999</v>
      </c>
      <c r="L139">
        <v>12370756.949999999</v>
      </c>
      <c r="M139">
        <v>12370756.949999999</v>
      </c>
      <c r="N139">
        <v>0</v>
      </c>
    </row>
    <row r="140" spans="1:14" ht="12.75" x14ac:dyDescent="0.2">
      <c r="A140">
        <v>6952</v>
      </c>
      <c r="B140" s="342">
        <v>30385</v>
      </c>
      <c r="C140" t="s">
        <v>66</v>
      </c>
      <c r="D140">
        <v>0</v>
      </c>
      <c r="E140">
        <v>0</v>
      </c>
      <c r="F140">
        <v>0</v>
      </c>
      <c r="G140">
        <v>0</v>
      </c>
      <c r="H140">
        <v>0</v>
      </c>
      <c r="I140">
        <v>0</v>
      </c>
      <c r="J140">
        <v>0</v>
      </c>
      <c r="K140">
        <v>0</v>
      </c>
      <c r="L140">
        <v>0</v>
      </c>
      <c r="M140">
        <v>0</v>
      </c>
      <c r="N140">
        <v>0</v>
      </c>
    </row>
    <row r="141" spans="1:14" ht="12.75" x14ac:dyDescent="0.2">
      <c r="A141">
        <v>6952</v>
      </c>
      <c r="B141" s="342">
        <v>30390</v>
      </c>
      <c r="C141" t="s">
        <v>308</v>
      </c>
      <c r="D141">
        <v>11479.21</v>
      </c>
      <c r="E141">
        <v>69750.12</v>
      </c>
      <c r="F141">
        <v>77546</v>
      </c>
      <c r="G141">
        <v>55130.63</v>
      </c>
      <c r="H141">
        <v>55130.63</v>
      </c>
      <c r="I141">
        <v>77546</v>
      </c>
      <c r="J141">
        <v>11479.21</v>
      </c>
      <c r="K141">
        <v>70153.460000000006</v>
      </c>
      <c r="L141">
        <v>55446</v>
      </c>
      <c r="M141">
        <v>55446</v>
      </c>
      <c r="N141">
        <v>0</v>
      </c>
    </row>
    <row r="142" spans="1:14" ht="12.75" x14ac:dyDescent="0.2">
      <c r="A142">
        <v>6952</v>
      </c>
      <c r="B142" s="342">
        <v>30391</v>
      </c>
      <c r="C142" t="s">
        <v>1106</v>
      </c>
      <c r="D142">
        <v>0</v>
      </c>
      <c r="E142">
        <v>0</v>
      </c>
      <c r="F142">
        <v>0</v>
      </c>
      <c r="G142">
        <v>351.19</v>
      </c>
      <c r="H142">
        <v>351.19</v>
      </c>
      <c r="I142">
        <v>0</v>
      </c>
      <c r="J142">
        <v>0</v>
      </c>
      <c r="K142">
        <v>0</v>
      </c>
      <c r="L142">
        <v>710.99</v>
      </c>
      <c r="M142">
        <v>710.99</v>
      </c>
      <c r="N142">
        <v>0</v>
      </c>
    </row>
    <row r="143" spans="1:14" ht="12.75" x14ac:dyDescent="0.2">
      <c r="A143">
        <v>6952</v>
      </c>
      <c r="B143" s="342">
        <v>30392</v>
      </c>
      <c r="C143" t="s">
        <v>1107</v>
      </c>
      <c r="D143">
        <v>0</v>
      </c>
      <c r="E143">
        <v>0</v>
      </c>
      <c r="F143">
        <v>0</v>
      </c>
      <c r="G143">
        <v>18.04</v>
      </c>
      <c r="H143">
        <v>18.04</v>
      </c>
      <c r="I143">
        <v>0</v>
      </c>
      <c r="J143">
        <v>0</v>
      </c>
      <c r="K143">
        <v>0</v>
      </c>
      <c r="L143">
        <v>18.04</v>
      </c>
      <c r="M143">
        <v>18.04</v>
      </c>
      <c r="N143">
        <v>0</v>
      </c>
    </row>
    <row r="144" spans="1:14" ht="12.75" x14ac:dyDescent="0.2">
      <c r="A144">
        <v>6952</v>
      </c>
      <c r="B144" s="342">
        <v>30395</v>
      </c>
      <c r="C144" t="s">
        <v>882</v>
      </c>
      <c r="D144">
        <v>0</v>
      </c>
      <c r="E144">
        <v>0</v>
      </c>
      <c r="F144">
        <v>5000</v>
      </c>
      <c r="G144">
        <v>935</v>
      </c>
      <c r="H144">
        <v>935</v>
      </c>
      <c r="I144">
        <v>5000</v>
      </c>
      <c r="J144">
        <v>0</v>
      </c>
      <c r="K144">
        <v>0</v>
      </c>
      <c r="L144">
        <v>935</v>
      </c>
      <c r="M144">
        <v>935</v>
      </c>
      <c r="N144">
        <v>0</v>
      </c>
    </row>
    <row r="145" spans="1:14" ht="12.75" x14ac:dyDescent="0.2">
      <c r="A145">
        <v>6952</v>
      </c>
      <c r="B145" s="342">
        <v>30400</v>
      </c>
      <c r="C145" t="s">
        <v>309</v>
      </c>
      <c r="D145">
        <v>-373.44</v>
      </c>
      <c r="E145">
        <v>9581.33</v>
      </c>
      <c r="F145">
        <v>10000</v>
      </c>
      <c r="G145">
        <v>12324.77</v>
      </c>
      <c r="H145">
        <v>12324.77</v>
      </c>
      <c r="I145">
        <v>10000</v>
      </c>
      <c r="J145">
        <v>-373.44</v>
      </c>
      <c r="K145">
        <v>9581.33</v>
      </c>
      <c r="L145">
        <v>12324.77</v>
      </c>
      <c r="M145">
        <v>12324.77</v>
      </c>
      <c r="N145">
        <v>0</v>
      </c>
    </row>
    <row r="146" spans="1:14" ht="12.75" x14ac:dyDescent="0.2">
      <c r="A146">
        <v>6952</v>
      </c>
      <c r="B146" s="342">
        <v>30401</v>
      </c>
      <c r="C146" t="s">
        <v>954</v>
      </c>
      <c r="D146">
        <v>0</v>
      </c>
      <c r="E146">
        <v>0</v>
      </c>
      <c r="F146">
        <v>0</v>
      </c>
      <c r="G146">
        <v>0</v>
      </c>
      <c r="H146">
        <v>0</v>
      </c>
      <c r="I146">
        <v>0</v>
      </c>
      <c r="J146">
        <v>0</v>
      </c>
      <c r="K146">
        <v>0</v>
      </c>
      <c r="L146">
        <v>0</v>
      </c>
      <c r="M146">
        <v>0</v>
      </c>
      <c r="N146">
        <v>0</v>
      </c>
    </row>
    <row r="147" spans="1:14" ht="12.75" x14ac:dyDescent="0.2">
      <c r="A147">
        <v>6952</v>
      </c>
      <c r="B147" s="342">
        <v>30520</v>
      </c>
      <c r="C147" t="s">
        <v>310</v>
      </c>
      <c r="D147">
        <v>0</v>
      </c>
      <c r="E147">
        <v>0</v>
      </c>
      <c r="F147">
        <v>0</v>
      </c>
      <c r="G147">
        <v>687.15</v>
      </c>
      <c r="H147">
        <v>687.15</v>
      </c>
      <c r="I147">
        <v>0</v>
      </c>
      <c r="J147">
        <v>0</v>
      </c>
      <c r="K147">
        <v>0</v>
      </c>
      <c r="L147">
        <v>687.15</v>
      </c>
      <c r="M147">
        <v>687.15</v>
      </c>
      <c r="N147">
        <v>0</v>
      </c>
    </row>
    <row r="148" spans="1:14" ht="12.75" x14ac:dyDescent="0.2">
      <c r="A148">
        <v>6952</v>
      </c>
      <c r="B148" s="342">
        <v>30521</v>
      </c>
      <c r="C148" t="s">
        <v>311</v>
      </c>
      <c r="D148">
        <v>574.22</v>
      </c>
      <c r="E148">
        <v>8739.2900000000009</v>
      </c>
      <c r="F148">
        <v>8000</v>
      </c>
      <c r="G148">
        <v>7354.3</v>
      </c>
      <c r="H148">
        <v>7354.3</v>
      </c>
      <c r="I148">
        <v>8000</v>
      </c>
      <c r="J148">
        <v>574.22</v>
      </c>
      <c r="K148">
        <v>8739.2900000000009</v>
      </c>
      <c r="L148">
        <v>7502.13</v>
      </c>
      <c r="M148">
        <v>7502.13</v>
      </c>
      <c r="N148">
        <v>0</v>
      </c>
    </row>
    <row r="149" spans="1:14" ht="12.75" x14ac:dyDescent="0.2">
      <c r="A149">
        <v>6952</v>
      </c>
      <c r="B149" s="342">
        <v>30522</v>
      </c>
      <c r="C149" t="s">
        <v>312</v>
      </c>
      <c r="D149">
        <v>0</v>
      </c>
      <c r="E149">
        <v>0</v>
      </c>
      <c r="F149">
        <v>0</v>
      </c>
      <c r="G149">
        <v>0</v>
      </c>
      <c r="H149">
        <v>0</v>
      </c>
      <c r="I149">
        <v>0</v>
      </c>
      <c r="J149">
        <v>0</v>
      </c>
      <c r="K149">
        <v>0</v>
      </c>
      <c r="L149">
        <v>0</v>
      </c>
      <c r="M149">
        <v>0</v>
      </c>
      <c r="N149">
        <v>0</v>
      </c>
    </row>
    <row r="150" spans="1:14" ht="12.75" x14ac:dyDescent="0.2">
      <c r="A150">
        <v>6952</v>
      </c>
      <c r="B150" s="342">
        <v>30525</v>
      </c>
      <c r="C150" t="s">
        <v>313</v>
      </c>
      <c r="D150">
        <v>1409.15</v>
      </c>
      <c r="E150">
        <v>4552.25</v>
      </c>
      <c r="F150">
        <v>2000</v>
      </c>
      <c r="G150">
        <v>277.14999999999998</v>
      </c>
      <c r="H150">
        <v>277.14999999999998</v>
      </c>
      <c r="I150">
        <v>2000</v>
      </c>
      <c r="J150">
        <v>1409.15</v>
      </c>
      <c r="K150">
        <v>4552.25</v>
      </c>
      <c r="L150">
        <v>277.14999999999998</v>
      </c>
      <c r="M150">
        <v>277.14999999999998</v>
      </c>
      <c r="N150">
        <v>0</v>
      </c>
    </row>
    <row r="151" spans="1:14" ht="12.75" x14ac:dyDescent="0.2">
      <c r="A151">
        <v>6952</v>
      </c>
      <c r="B151" s="342">
        <v>30530</v>
      </c>
      <c r="C151" t="s">
        <v>314</v>
      </c>
      <c r="D151">
        <v>0</v>
      </c>
      <c r="E151">
        <v>0</v>
      </c>
      <c r="F151">
        <v>0</v>
      </c>
      <c r="G151">
        <v>0</v>
      </c>
      <c r="H151">
        <v>0</v>
      </c>
      <c r="I151">
        <v>0</v>
      </c>
      <c r="J151">
        <v>0</v>
      </c>
      <c r="K151">
        <v>0</v>
      </c>
      <c r="L151">
        <v>0</v>
      </c>
      <c r="M151">
        <v>0</v>
      </c>
      <c r="N151">
        <v>0</v>
      </c>
    </row>
    <row r="152" spans="1:14" ht="12.75" x14ac:dyDescent="0.2">
      <c r="A152">
        <v>6952</v>
      </c>
      <c r="B152" s="342">
        <v>30531</v>
      </c>
      <c r="C152" t="s">
        <v>1108</v>
      </c>
      <c r="D152">
        <v>0</v>
      </c>
      <c r="E152">
        <v>0</v>
      </c>
      <c r="F152">
        <v>0</v>
      </c>
      <c r="G152">
        <v>0</v>
      </c>
      <c r="H152">
        <v>0</v>
      </c>
      <c r="I152">
        <v>0</v>
      </c>
      <c r="J152">
        <v>0</v>
      </c>
      <c r="K152">
        <v>0</v>
      </c>
      <c r="L152">
        <v>0</v>
      </c>
      <c r="M152">
        <v>0</v>
      </c>
      <c r="N152">
        <v>0</v>
      </c>
    </row>
    <row r="153" spans="1:14" ht="12.75" x14ac:dyDescent="0.2">
      <c r="A153">
        <v>6952</v>
      </c>
      <c r="B153" s="342">
        <v>30532</v>
      </c>
      <c r="C153" t="s">
        <v>1109</v>
      </c>
      <c r="D153">
        <v>0</v>
      </c>
      <c r="E153">
        <v>0</v>
      </c>
      <c r="F153">
        <v>0</v>
      </c>
      <c r="G153">
        <v>0</v>
      </c>
      <c r="H153">
        <v>0</v>
      </c>
      <c r="I153">
        <v>0</v>
      </c>
      <c r="J153">
        <v>0</v>
      </c>
      <c r="K153">
        <v>0</v>
      </c>
      <c r="L153">
        <v>0</v>
      </c>
      <c r="M153">
        <v>0</v>
      </c>
      <c r="N153">
        <v>0</v>
      </c>
    </row>
    <row r="154" spans="1:14" ht="12.75" x14ac:dyDescent="0.2">
      <c r="A154">
        <v>6952</v>
      </c>
      <c r="B154" s="342">
        <v>30533</v>
      </c>
      <c r="C154" t="s">
        <v>1110</v>
      </c>
      <c r="D154">
        <v>0</v>
      </c>
      <c r="E154">
        <v>0</v>
      </c>
      <c r="F154">
        <v>0</v>
      </c>
      <c r="G154">
        <v>0</v>
      </c>
      <c r="H154">
        <v>0</v>
      </c>
      <c r="I154">
        <v>0</v>
      </c>
      <c r="J154">
        <v>0</v>
      </c>
      <c r="K154">
        <v>0</v>
      </c>
      <c r="L154">
        <v>0</v>
      </c>
      <c r="M154">
        <v>0</v>
      </c>
      <c r="N154">
        <v>0</v>
      </c>
    </row>
    <row r="155" spans="1:14" ht="12.75" x14ac:dyDescent="0.2">
      <c r="A155">
        <v>6952</v>
      </c>
      <c r="B155" s="342">
        <v>30534</v>
      </c>
      <c r="C155" t="s">
        <v>1111</v>
      </c>
      <c r="D155">
        <v>0</v>
      </c>
      <c r="E155">
        <v>0</v>
      </c>
      <c r="F155">
        <v>0</v>
      </c>
      <c r="G155">
        <v>0</v>
      </c>
      <c r="H155">
        <v>0</v>
      </c>
      <c r="I155">
        <v>0</v>
      </c>
      <c r="J155">
        <v>0</v>
      </c>
      <c r="K155">
        <v>0</v>
      </c>
      <c r="L155">
        <v>0</v>
      </c>
      <c r="M155">
        <v>0</v>
      </c>
      <c r="N155">
        <v>0</v>
      </c>
    </row>
    <row r="156" spans="1:14" ht="12.75" x14ac:dyDescent="0.2">
      <c r="A156">
        <v>6952</v>
      </c>
      <c r="B156" s="342">
        <v>30535</v>
      </c>
      <c r="C156" t="s">
        <v>1112</v>
      </c>
      <c r="D156">
        <v>0</v>
      </c>
      <c r="E156">
        <v>0</v>
      </c>
      <c r="F156">
        <v>0</v>
      </c>
      <c r="G156">
        <v>0</v>
      </c>
      <c r="H156">
        <v>0</v>
      </c>
      <c r="I156">
        <v>0</v>
      </c>
      <c r="J156">
        <v>0</v>
      </c>
      <c r="K156">
        <v>0</v>
      </c>
      <c r="L156">
        <v>0</v>
      </c>
      <c r="M156">
        <v>0</v>
      </c>
      <c r="N156">
        <v>0</v>
      </c>
    </row>
    <row r="157" spans="1:14" ht="12.75" x14ac:dyDescent="0.2">
      <c r="A157">
        <v>6952</v>
      </c>
      <c r="B157" s="342">
        <v>30536</v>
      </c>
      <c r="C157" t="s">
        <v>1113</v>
      </c>
      <c r="D157">
        <v>0</v>
      </c>
      <c r="E157">
        <v>0</v>
      </c>
      <c r="F157">
        <v>0</v>
      </c>
      <c r="G157">
        <v>0</v>
      </c>
      <c r="H157">
        <v>0</v>
      </c>
      <c r="I157">
        <v>0</v>
      </c>
      <c r="J157">
        <v>0</v>
      </c>
      <c r="K157">
        <v>0</v>
      </c>
      <c r="L157">
        <v>0</v>
      </c>
      <c r="M157">
        <v>0</v>
      </c>
      <c r="N157">
        <v>0</v>
      </c>
    </row>
    <row r="158" spans="1:14" ht="12.75" x14ac:dyDescent="0.2">
      <c r="A158">
        <v>6952</v>
      </c>
      <c r="B158" s="342">
        <v>30537</v>
      </c>
      <c r="C158" t="s">
        <v>1114</v>
      </c>
      <c r="D158">
        <v>0</v>
      </c>
      <c r="E158">
        <v>65.38</v>
      </c>
      <c r="F158">
        <v>0</v>
      </c>
      <c r="G158">
        <v>0</v>
      </c>
      <c r="H158">
        <v>0</v>
      </c>
      <c r="I158">
        <v>0</v>
      </c>
      <c r="J158">
        <v>0</v>
      </c>
      <c r="K158">
        <v>65.38</v>
      </c>
      <c r="L158">
        <v>0</v>
      </c>
      <c r="M158">
        <v>0</v>
      </c>
      <c r="N158">
        <v>0</v>
      </c>
    </row>
    <row r="159" spans="1:14" ht="12.75" x14ac:dyDescent="0.2">
      <c r="A159">
        <v>6952</v>
      </c>
      <c r="B159" s="342">
        <v>30538</v>
      </c>
      <c r="C159" t="s">
        <v>1115</v>
      </c>
      <c r="D159">
        <v>401.57</v>
      </c>
      <c r="E159">
        <v>2272.15</v>
      </c>
      <c r="F159">
        <v>6000</v>
      </c>
      <c r="G159">
        <v>849.67</v>
      </c>
      <c r="H159">
        <v>849.67</v>
      </c>
      <c r="I159">
        <v>6000</v>
      </c>
      <c r="J159">
        <v>401.57</v>
      </c>
      <c r="K159">
        <v>2272.15</v>
      </c>
      <c r="L159">
        <v>849.67</v>
      </c>
      <c r="M159">
        <v>849.67</v>
      </c>
      <c r="N159">
        <v>0</v>
      </c>
    </row>
    <row r="160" spans="1:14" ht="12.75" x14ac:dyDescent="0.2">
      <c r="A160">
        <v>6952</v>
      </c>
      <c r="B160" s="342">
        <v>30570</v>
      </c>
      <c r="C160" t="s">
        <v>315</v>
      </c>
      <c r="D160">
        <v>2626.92</v>
      </c>
      <c r="E160">
        <v>8881.32</v>
      </c>
      <c r="F160">
        <v>12000</v>
      </c>
      <c r="G160">
        <v>5379.83</v>
      </c>
      <c r="H160">
        <v>5379.83</v>
      </c>
      <c r="I160">
        <v>12000</v>
      </c>
      <c r="J160">
        <v>2626.92</v>
      </c>
      <c r="K160">
        <v>8881.32</v>
      </c>
      <c r="L160">
        <v>5379.83</v>
      </c>
      <c r="M160">
        <v>5379.83</v>
      </c>
      <c r="N160">
        <v>0</v>
      </c>
    </row>
    <row r="161" spans="1:14" ht="12.75" x14ac:dyDescent="0.2">
      <c r="A161">
        <v>6952</v>
      </c>
      <c r="B161" s="342">
        <v>30571</v>
      </c>
      <c r="C161" t="s">
        <v>1479</v>
      </c>
      <c r="D161">
        <v>0</v>
      </c>
      <c r="E161">
        <v>0</v>
      </c>
      <c r="F161">
        <v>5600</v>
      </c>
      <c r="G161">
        <v>0</v>
      </c>
      <c r="H161">
        <v>0</v>
      </c>
      <c r="I161">
        <v>5600</v>
      </c>
      <c r="J161">
        <v>0</v>
      </c>
      <c r="K161">
        <v>0</v>
      </c>
      <c r="L161">
        <v>0</v>
      </c>
      <c r="M161">
        <v>0</v>
      </c>
      <c r="N161">
        <v>0</v>
      </c>
    </row>
    <row r="162" spans="1:14" ht="12.75" x14ac:dyDescent="0.2">
      <c r="A162">
        <v>6952</v>
      </c>
      <c r="B162" s="342">
        <v>30600</v>
      </c>
      <c r="C162" t="s">
        <v>1116</v>
      </c>
      <c r="D162">
        <v>125.48</v>
      </c>
      <c r="E162">
        <v>2083.2199999999998</v>
      </c>
      <c r="F162">
        <v>2000</v>
      </c>
      <c r="G162">
        <v>2040.26</v>
      </c>
      <c r="H162">
        <v>2040.26</v>
      </c>
      <c r="I162">
        <v>2000</v>
      </c>
      <c r="J162">
        <v>125.48</v>
      </c>
      <c r="K162">
        <v>2083.2199999999998</v>
      </c>
      <c r="L162">
        <v>2042.87</v>
      </c>
      <c r="M162">
        <v>2042.87</v>
      </c>
      <c r="N162">
        <v>0</v>
      </c>
    </row>
    <row r="163" spans="1:14" ht="12.75" x14ac:dyDescent="0.2">
      <c r="A163">
        <v>6952</v>
      </c>
      <c r="B163" s="342">
        <v>30601</v>
      </c>
      <c r="C163" t="s">
        <v>1479</v>
      </c>
      <c r="D163">
        <v>2143.48</v>
      </c>
      <c r="E163">
        <v>19761.400000000001</v>
      </c>
      <c r="F163">
        <v>13600</v>
      </c>
      <c r="G163">
        <v>10737.11</v>
      </c>
      <c r="H163">
        <v>10737.11</v>
      </c>
      <c r="I163">
        <v>13600</v>
      </c>
      <c r="J163">
        <v>2143.48</v>
      </c>
      <c r="K163">
        <v>19865.96</v>
      </c>
      <c r="L163">
        <v>10789.28</v>
      </c>
      <c r="M163">
        <v>10789.28</v>
      </c>
      <c r="N163">
        <v>0</v>
      </c>
    </row>
    <row r="164" spans="1:14" ht="12.75" x14ac:dyDescent="0.2">
      <c r="A164">
        <v>6952</v>
      </c>
      <c r="B164" s="342">
        <v>30660</v>
      </c>
      <c r="C164" t="s">
        <v>316</v>
      </c>
      <c r="D164">
        <v>0</v>
      </c>
      <c r="E164">
        <v>0</v>
      </c>
      <c r="F164">
        <v>0</v>
      </c>
      <c r="G164">
        <v>0</v>
      </c>
      <c r="H164">
        <v>0</v>
      </c>
      <c r="I164">
        <v>0</v>
      </c>
      <c r="J164">
        <v>0</v>
      </c>
      <c r="K164">
        <v>0</v>
      </c>
      <c r="L164">
        <v>0</v>
      </c>
      <c r="M164">
        <v>0</v>
      </c>
      <c r="N164">
        <v>0</v>
      </c>
    </row>
    <row r="165" spans="1:14" ht="12.75" x14ac:dyDescent="0.2">
      <c r="A165">
        <v>6952</v>
      </c>
      <c r="B165" s="342">
        <v>30690</v>
      </c>
      <c r="C165" t="s">
        <v>317</v>
      </c>
      <c r="D165">
        <v>339.26</v>
      </c>
      <c r="E165">
        <v>4598.08</v>
      </c>
      <c r="F165">
        <v>4000</v>
      </c>
      <c r="G165">
        <v>6294.76</v>
      </c>
      <c r="H165">
        <v>6294.76</v>
      </c>
      <c r="I165">
        <v>4000</v>
      </c>
      <c r="J165">
        <v>339.26</v>
      </c>
      <c r="K165">
        <v>4598.08</v>
      </c>
      <c r="L165">
        <v>6294.77</v>
      </c>
      <c r="M165">
        <v>6294.77</v>
      </c>
      <c r="N165">
        <v>0</v>
      </c>
    </row>
    <row r="166" spans="1:14" ht="12.75" x14ac:dyDescent="0.2">
      <c r="A166">
        <v>6952</v>
      </c>
      <c r="B166" s="342">
        <v>30691</v>
      </c>
      <c r="C166" t="s">
        <v>760</v>
      </c>
      <c r="D166">
        <v>0</v>
      </c>
      <c r="E166">
        <v>0</v>
      </c>
      <c r="F166">
        <v>0</v>
      </c>
      <c r="G166">
        <v>0</v>
      </c>
      <c r="H166">
        <v>0</v>
      </c>
      <c r="I166">
        <v>0</v>
      </c>
      <c r="J166">
        <v>0</v>
      </c>
      <c r="K166">
        <v>0</v>
      </c>
      <c r="L166">
        <v>0</v>
      </c>
      <c r="M166">
        <v>0</v>
      </c>
      <c r="N166">
        <v>0</v>
      </c>
    </row>
    <row r="167" spans="1:14" ht="12.75" x14ac:dyDescent="0.2">
      <c r="A167">
        <v>6952</v>
      </c>
      <c r="B167" s="342">
        <v>30695</v>
      </c>
      <c r="C167" t="s">
        <v>318</v>
      </c>
      <c r="D167">
        <v>1321.31</v>
      </c>
      <c r="E167">
        <v>8531.42</v>
      </c>
      <c r="F167">
        <v>5000</v>
      </c>
      <c r="G167">
        <v>4125.22</v>
      </c>
      <c r="H167">
        <v>4125.22</v>
      </c>
      <c r="I167">
        <v>5000</v>
      </c>
      <c r="J167">
        <v>1321.31</v>
      </c>
      <c r="K167">
        <v>8589.5499999999993</v>
      </c>
      <c r="L167">
        <v>4588.42</v>
      </c>
      <c r="M167">
        <v>4588.42</v>
      </c>
      <c r="N167">
        <v>0</v>
      </c>
    </row>
    <row r="168" spans="1:14" ht="12.75" x14ac:dyDescent="0.2">
      <c r="A168">
        <v>6952</v>
      </c>
      <c r="B168" s="342">
        <v>30700</v>
      </c>
      <c r="C168" t="s">
        <v>319</v>
      </c>
      <c r="D168">
        <v>17.39</v>
      </c>
      <c r="E168">
        <v>731.89</v>
      </c>
      <c r="F168">
        <v>1200</v>
      </c>
      <c r="G168">
        <v>906.77</v>
      </c>
      <c r="H168">
        <v>906.77</v>
      </c>
      <c r="I168">
        <v>1200</v>
      </c>
      <c r="J168">
        <v>17.39</v>
      </c>
      <c r="K168">
        <v>731.89</v>
      </c>
      <c r="L168">
        <v>1017.64</v>
      </c>
      <c r="M168">
        <v>1017.64</v>
      </c>
      <c r="N168">
        <v>0</v>
      </c>
    </row>
    <row r="169" spans="1:14" ht="12.75" x14ac:dyDescent="0.2">
      <c r="A169">
        <v>6952</v>
      </c>
      <c r="B169" s="342">
        <v>30705</v>
      </c>
      <c r="C169" t="s">
        <v>320</v>
      </c>
      <c r="D169">
        <v>32.25</v>
      </c>
      <c r="E169">
        <v>205.09</v>
      </c>
      <c r="F169">
        <v>400</v>
      </c>
      <c r="G169">
        <v>324.82</v>
      </c>
      <c r="H169">
        <v>324.82</v>
      </c>
      <c r="I169">
        <v>400</v>
      </c>
      <c r="J169">
        <v>32.25</v>
      </c>
      <c r="K169">
        <v>205.09</v>
      </c>
      <c r="L169">
        <v>324.82</v>
      </c>
      <c r="M169">
        <v>324.82</v>
      </c>
      <c r="N169">
        <v>0</v>
      </c>
    </row>
    <row r="170" spans="1:14" ht="12.75" x14ac:dyDescent="0.2">
      <c r="A170">
        <v>6952</v>
      </c>
      <c r="B170" s="342">
        <v>30710</v>
      </c>
      <c r="C170" t="s">
        <v>659</v>
      </c>
      <c r="D170">
        <v>0</v>
      </c>
      <c r="E170">
        <v>719.59</v>
      </c>
      <c r="F170">
        <v>1080</v>
      </c>
      <c r="G170">
        <v>635.34</v>
      </c>
      <c r="H170">
        <v>635.34</v>
      </c>
      <c r="I170">
        <v>1080</v>
      </c>
      <c r="J170">
        <v>0</v>
      </c>
      <c r="K170">
        <v>719.59</v>
      </c>
      <c r="L170">
        <v>635.34</v>
      </c>
      <c r="M170">
        <v>635.34</v>
      </c>
      <c r="N170">
        <v>0</v>
      </c>
    </row>
    <row r="171" spans="1:14" ht="12.75" x14ac:dyDescent="0.2">
      <c r="A171">
        <v>6952</v>
      </c>
      <c r="B171" s="342">
        <v>30715</v>
      </c>
      <c r="C171" t="s">
        <v>321</v>
      </c>
      <c r="D171">
        <v>0</v>
      </c>
      <c r="E171">
        <v>0</v>
      </c>
      <c r="F171">
        <v>0</v>
      </c>
      <c r="G171">
        <v>0</v>
      </c>
      <c r="H171">
        <v>0</v>
      </c>
      <c r="I171">
        <v>0</v>
      </c>
      <c r="J171">
        <v>0</v>
      </c>
      <c r="K171">
        <v>0</v>
      </c>
      <c r="L171">
        <v>0</v>
      </c>
      <c r="M171">
        <v>0</v>
      </c>
      <c r="N171">
        <v>0</v>
      </c>
    </row>
    <row r="172" spans="1:14" ht="12.75" x14ac:dyDescent="0.2">
      <c r="A172">
        <v>6952</v>
      </c>
      <c r="B172" s="342">
        <v>31010</v>
      </c>
      <c r="C172" t="s">
        <v>1117</v>
      </c>
      <c r="D172">
        <v>681.8</v>
      </c>
      <c r="E172">
        <v>1207.97</v>
      </c>
      <c r="F172">
        <v>1000</v>
      </c>
      <c r="G172">
        <v>0</v>
      </c>
      <c r="H172">
        <v>0</v>
      </c>
      <c r="I172">
        <v>1000</v>
      </c>
      <c r="J172">
        <v>681.8</v>
      </c>
      <c r="K172">
        <v>1207.97</v>
      </c>
      <c r="L172">
        <v>0</v>
      </c>
      <c r="M172">
        <v>0</v>
      </c>
      <c r="N172">
        <v>0</v>
      </c>
    </row>
    <row r="173" spans="1:14" ht="12.75" x14ac:dyDescent="0.2">
      <c r="A173">
        <v>6952</v>
      </c>
      <c r="B173" s="342">
        <v>31011</v>
      </c>
      <c r="C173" t="s">
        <v>1480</v>
      </c>
      <c r="D173">
        <v>0</v>
      </c>
      <c r="E173">
        <v>162.46</v>
      </c>
      <c r="F173">
        <v>0</v>
      </c>
      <c r="G173">
        <v>110.32</v>
      </c>
      <c r="H173">
        <v>110.32</v>
      </c>
      <c r="I173">
        <v>0</v>
      </c>
      <c r="J173">
        <v>0</v>
      </c>
      <c r="K173">
        <v>162.46</v>
      </c>
      <c r="L173">
        <v>110.32</v>
      </c>
      <c r="M173">
        <v>110.32</v>
      </c>
      <c r="N173">
        <v>0</v>
      </c>
    </row>
    <row r="174" spans="1:14" ht="12.75" x14ac:dyDescent="0.2">
      <c r="A174">
        <v>6952</v>
      </c>
      <c r="B174" s="342">
        <v>31040</v>
      </c>
      <c r="C174" t="s">
        <v>1118</v>
      </c>
      <c r="D174">
        <v>0</v>
      </c>
      <c r="E174">
        <v>0</v>
      </c>
      <c r="F174">
        <v>0</v>
      </c>
      <c r="G174">
        <v>0</v>
      </c>
      <c r="H174">
        <v>0</v>
      </c>
      <c r="I174">
        <v>0</v>
      </c>
      <c r="J174">
        <v>0</v>
      </c>
      <c r="K174">
        <v>0</v>
      </c>
      <c r="L174">
        <v>0</v>
      </c>
      <c r="M174">
        <v>0</v>
      </c>
      <c r="N174">
        <v>0</v>
      </c>
    </row>
    <row r="175" spans="1:14" ht="12.75" x14ac:dyDescent="0.2">
      <c r="A175">
        <v>6952</v>
      </c>
      <c r="B175" s="342">
        <v>31045</v>
      </c>
      <c r="C175" t="s">
        <v>1119</v>
      </c>
      <c r="D175">
        <v>0</v>
      </c>
      <c r="E175">
        <v>0</v>
      </c>
      <c r="F175">
        <v>0</v>
      </c>
      <c r="G175">
        <v>0</v>
      </c>
      <c r="H175">
        <v>0</v>
      </c>
      <c r="I175">
        <v>0</v>
      </c>
      <c r="J175">
        <v>0</v>
      </c>
      <c r="K175">
        <v>0</v>
      </c>
      <c r="L175">
        <v>0</v>
      </c>
      <c r="M175">
        <v>0</v>
      </c>
      <c r="N175">
        <v>0</v>
      </c>
    </row>
    <row r="176" spans="1:14" ht="12.75" x14ac:dyDescent="0.2">
      <c r="A176">
        <v>6952</v>
      </c>
      <c r="B176" s="342">
        <v>31050</v>
      </c>
      <c r="C176" t="s">
        <v>1120</v>
      </c>
      <c r="D176">
        <v>0</v>
      </c>
      <c r="E176">
        <v>0</v>
      </c>
      <c r="F176">
        <v>0</v>
      </c>
      <c r="G176">
        <v>0</v>
      </c>
      <c r="H176">
        <v>0</v>
      </c>
      <c r="I176">
        <v>0</v>
      </c>
      <c r="J176">
        <v>0</v>
      </c>
      <c r="K176">
        <v>0</v>
      </c>
      <c r="L176">
        <v>0</v>
      </c>
      <c r="M176">
        <v>0</v>
      </c>
      <c r="N176">
        <v>0</v>
      </c>
    </row>
    <row r="177" spans="1:14" ht="12.75" x14ac:dyDescent="0.2">
      <c r="A177">
        <v>6952</v>
      </c>
      <c r="B177" s="342">
        <v>31110</v>
      </c>
      <c r="C177" t="s">
        <v>1121</v>
      </c>
      <c r="D177">
        <v>735.09</v>
      </c>
      <c r="E177">
        <v>6610.93</v>
      </c>
      <c r="F177">
        <v>7000</v>
      </c>
      <c r="G177">
        <v>6327.49</v>
      </c>
      <c r="H177">
        <v>6327.49</v>
      </c>
      <c r="I177">
        <v>7000</v>
      </c>
      <c r="J177">
        <v>735.09</v>
      </c>
      <c r="K177">
        <v>6610.93</v>
      </c>
      <c r="L177">
        <v>6327.49</v>
      </c>
      <c r="M177">
        <v>6327.49</v>
      </c>
      <c r="N177">
        <v>0</v>
      </c>
    </row>
    <row r="178" spans="1:14" ht="12.75" x14ac:dyDescent="0.2">
      <c r="A178">
        <v>6952</v>
      </c>
      <c r="B178" s="342">
        <v>31111</v>
      </c>
      <c r="C178" t="s">
        <v>1481</v>
      </c>
      <c r="D178">
        <v>258.24</v>
      </c>
      <c r="E178">
        <v>858.07</v>
      </c>
      <c r="F178">
        <v>0</v>
      </c>
      <c r="G178">
        <v>312.35000000000002</v>
      </c>
      <c r="H178">
        <v>312.35000000000002</v>
      </c>
      <c r="I178">
        <v>0</v>
      </c>
      <c r="J178">
        <v>258.24</v>
      </c>
      <c r="K178">
        <v>858.07</v>
      </c>
      <c r="L178">
        <v>312.35000000000002</v>
      </c>
      <c r="M178">
        <v>312.35000000000002</v>
      </c>
      <c r="N178">
        <v>0</v>
      </c>
    </row>
    <row r="179" spans="1:14" ht="12.75" x14ac:dyDescent="0.2">
      <c r="A179">
        <v>6952</v>
      </c>
      <c r="B179" s="342">
        <v>31210</v>
      </c>
      <c r="C179" t="s">
        <v>1482</v>
      </c>
      <c r="D179">
        <v>998.82</v>
      </c>
      <c r="E179">
        <v>4484.5200000000004</v>
      </c>
      <c r="F179">
        <v>7000</v>
      </c>
      <c r="G179">
        <v>1760.5</v>
      </c>
      <c r="H179">
        <v>1760.5</v>
      </c>
      <c r="I179">
        <v>7000</v>
      </c>
      <c r="J179">
        <v>998.82</v>
      </c>
      <c r="K179">
        <v>4484.5200000000004</v>
      </c>
      <c r="L179">
        <v>1760.5</v>
      </c>
      <c r="M179">
        <v>1760.5</v>
      </c>
      <c r="N179">
        <v>0</v>
      </c>
    </row>
    <row r="180" spans="1:14" ht="12.75" x14ac:dyDescent="0.2">
      <c r="A180">
        <v>6952</v>
      </c>
      <c r="B180" s="342">
        <v>31211</v>
      </c>
      <c r="C180" t="s">
        <v>1483</v>
      </c>
      <c r="D180">
        <v>466.15</v>
      </c>
      <c r="E180">
        <v>539.04999999999995</v>
      </c>
      <c r="F180">
        <v>0</v>
      </c>
      <c r="G180">
        <v>3001.49</v>
      </c>
      <c r="H180">
        <v>3001.49</v>
      </c>
      <c r="I180">
        <v>0</v>
      </c>
      <c r="J180">
        <v>466.15</v>
      </c>
      <c r="K180">
        <v>539.04999999999995</v>
      </c>
      <c r="L180">
        <v>3001.49</v>
      </c>
      <c r="M180">
        <v>3001.49</v>
      </c>
      <c r="N180">
        <v>0</v>
      </c>
    </row>
    <row r="181" spans="1:14" ht="12.75" x14ac:dyDescent="0.2">
      <c r="A181">
        <v>6952</v>
      </c>
      <c r="B181" s="342">
        <v>32000</v>
      </c>
      <c r="C181" t="s">
        <v>676</v>
      </c>
      <c r="D181">
        <v>0</v>
      </c>
      <c r="E181">
        <v>0</v>
      </c>
      <c r="F181">
        <v>0</v>
      </c>
      <c r="G181">
        <v>0</v>
      </c>
      <c r="H181">
        <v>0</v>
      </c>
      <c r="I181">
        <v>0</v>
      </c>
      <c r="J181">
        <v>0</v>
      </c>
      <c r="K181">
        <v>0</v>
      </c>
      <c r="L181">
        <v>0</v>
      </c>
      <c r="M181">
        <v>0</v>
      </c>
      <c r="N181">
        <v>0</v>
      </c>
    </row>
    <row r="182" spans="1:14" ht="12.75" x14ac:dyDescent="0.2">
      <c r="A182">
        <v>6952</v>
      </c>
      <c r="B182" s="342">
        <v>32010</v>
      </c>
      <c r="C182" t="s">
        <v>685</v>
      </c>
      <c r="D182">
        <v>0</v>
      </c>
      <c r="E182">
        <v>0</v>
      </c>
      <c r="F182">
        <v>0</v>
      </c>
      <c r="G182">
        <v>126.09</v>
      </c>
      <c r="H182">
        <v>126.09</v>
      </c>
      <c r="I182">
        <v>0</v>
      </c>
      <c r="J182">
        <v>0</v>
      </c>
      <c r="K182">
        <v>0</v>
      </c>
      <c r="L182">
        <v>126.09</v>
      </c>
      <c r="M182">
        <v>126.09</v>
      </c>
      <c r="N182">
        <v>0</v>
      </c>
    </row>
    <row r="183" spans="1:14" ht="12.75" x14ac:dyDescent="0.2">
      <c r="A183">
        <v>6952</v>
      </c>
      <c r="B183" s="342">
        <v>32020</v>
      </c>
      <c r="C183" t="s">
        <v>619</v>
      </c>
      <c r="D183">
        <v>0</v>
      </c>
      <c r="E183">
        <v>0</v>
      </c>
      <c r="F183">
        <v>0</v>
      </c>
      <c r="G183">
        <v>0</v>
      </c>
      <c r="H183">
        <v>0</v>
      </c>
      <c r="I183">
        <v>0</v>
      </c>
      <c r="J183">
        <v>0</v>
      </c>
      <c r="K183">
        <v>0</v>
      </c>
      <c r="L183">
        <v>0</v>
      </c>
      <c r="M183">
        <v>0</v>
      </c>
      <c r="N183">
        <v>0</v>
      </c>
    </row>
    <row r="184" spans="1:14" ht="12.75" x14ac:dyDescent="0.2">
      <c r="A184">
        <v>6952</v>
      </c>
      <c r="B184" s="342">
        <v>32030</v>
      </c>
      <c r="C184" t="s">
        <v>322</v>
      </c>
      <c r="D184">
        <v>0</v>
      </c>
      <c r="E184">
        <v>0</v>
      </c>
      <c r="F184">
        <v>0</v>
      </c>
      <c r="G184">
        <v>0</v>
      </c>
      <c r="H184">
        <v>0</v>
      </c>
      <c r="I184">
        <v>0</v>
      </c>
      <c r="J184">
        <v>0</v>
      </c>
      <c r="K184">
        <v>0</v>
      </c>
      <c r="L184">
        <v>0</v>
      </c>
      <c r="M184">
        <v>0</v>
      </c>
      <c r="N184">
        <v>0</v>
      </c>
    </row>
    <row r="185" spans="1:14" ht="12.75" x14ac:dyDescent="0.2">
      <c r="A185">
        <v>6952</v>
      </c>
      <c r="B185" s="342">
        <v>32040</v>
      </c>
      <c r="C185" t="s">
        <v>323</v>
      </c>
      <c r="D185">
        <v>0</v>
      </c>
      <c r="E185">
        <v>0</v>
      </c>
      <c r="F185">
        <v>0</v>
      </c>
      <c r="G185">
        <v>0</v>
      </c>
      <c r="H185">
        <v>0</v>
      </c>
      <c r="I185">
        <v>0</v>
      </c>
      <c r="J185">
        <v>0</v>
      </c>
      <c r="K185">
        <v>0</v>
      </c>
      <c r="L185">
        <v>0</v>
      </c>
      <c r="M185">
        <v>0</v>
      </c>
      <c r="N185">
        <v>0</v>
      </c>
    </row>
    <row r="186" spans="1:14" ht="12.75" x14ac:dyDescent="0.2">
      <c r="A186">
        <v>6952</v>
      </c>
      <c r="B186" s="342">
        <v>32050</v>
      </c>
      <c r="C186" t="s">
        <v>798</v>
      </c>
      <c r="D186">
        <v>0</v>
      </c>
      <c r="E186">
        <v>0</v>
      </c>
      <c r="F186">
        <v>0</v>
      </c>
      <c r="G186">
        <v>0</v>
      </c>
      <c r="H186">
        <v>0</v>
      </c>
      <c r="I186">
        <v>0</v>
      </c>
      <c r="J186">
        <v>0</v>
      </c>
      <c r="K186">
        <v>0</v>
      </c>
      <c r="L186">
        <v>0</v>
      </c>
      <c r="M186">
        <v>0</v>
      </c>
      <c r="N186">
        <v>0</v>
      </c>
    </row>
    <row r="187" spans="1:14" ht="12.75" x14ac:dyDescent="0.2">
      <c r="A187">
        <v>6952</v>
      </c>
      <c r="B187" s="342">
        <v>32060</v>
      </c>
      <c r="C187" t="s">
        <v>799</v>
      </c>
      <c r="D187">
        <v>0</v>
      </c>
      <c r="E187">
        <v>0</v>
      </c>
      <c r="F187">
        <v>0</v>
      </c>
      <c r="G187">
        <v>0</v>
      </c>
      <c r="H187">
        <v>0</v>
      </c>
      <c r="I187">
        <v>0</v>
      </c>
      <c r="J187">
        <v>0</v>
      </c>
      <c r="K187">
        <v>0</v>
      </c>
      <c r="L187">
        <v>0</v>
      </c>
      <c r="M187">
        <v>0</v>
      </c>
      <c r="N187">
        <v>0</v>
      </c>
    </row>
    <row r="188" spans="1:14" ht="12.75" x14ac:dyDescent="0.2">
      <c r="A188">
        <v>6952</v>
      </c>
      <c r="B188" s="342">
        <v>32070</v>
      </c>
      <c r="C188" t="s">
        <v>67</v>
      </c>
      <c r="D188">
        <v>0</v>
      </c>
      <c r="E188">
        <v>0</v>
      </c>
      <c r="F188">
        <v>0</v>
      </c>
      <c r="G188">
        <v>0</v>
      </c>
      <c r="H188">
        <v>0</v>
      </c>
      <c r="I188">
        <v>0</v>
      </c>
      <c r="J188">
        <v>0</v>
      </c>
      <c r="K188">
        <v>0</v>
      </c>
      <c r="L188">
        <v>0</v>
      </c>
      <c r="M188">
        <v>0</v>
      </c>
      <c r="N188">
        <v>0</v>
      </c>
    </row>
    <row r="189" spans="1:14" ht="12.75" x14ac:dyDescent="0.2">
      <c r="A189">
        <v>6952</v>
      </c>
      <c r="B189" s="342">
        <v>32080</v>
      </c>
      <c r="C189" t="s">
        <v>619</v>
      </c>
      <c r="D189">
        <v>0</v>
      </c>
      <c r="E189">
        <v>0</v>
      </c>
      <c r="F189">
        <v>0</v>
      </c>
      <c r="G189">
        <v>0</v>
      </c>
      <c r="H189">
        <v>0</v>
      </c>
      <c r="I189">
        <v>0</v>
      </c>
      <c r="J189">
        <v>0</v>
      </c>
      <c r="K189">
        <v>0</v>
      </c>
      <c r="L189">
        <v>0</v>
      </c>
      <c r="M189">
        <v>0</v>
      </c>
      <c r="N189">
        <v>0</v>
      </c>
    </row>
    <row r="190" spans="1:14" ht="12.75" x14ac:dyDescent="0.2">
      <c r="A190">
        <v>6952</v>
      </c>
      <c r="B190" s="342">
        <v>32090</v>
      </c>
      <c r="C190" t="s">
        <v>797</v>
      </c>
      <c r="D190">
        <v>0</v>
      </c>
      <c r="E190">
        <v>0</v>
      </c>
      <c r="F190">
        <v>0</v>
      </c>
      <c r="G190">
        <v>0</v>
      </c>
      <c r="H190">
        <v>0</v>
      </c>
      <c r="I190">
        <v>0</v>
      </c>
      <c r="J190">
        <v>0</v>
      </c>
      <c r="K190">
        <v>0</v>
      </c>
      <c r="L190">
        <v>0</v>
      </c>
      <c r="M190">
        <v>0</v>
      </c>
      <c r="N190">
        <v>0</v>
      </c>
    </row>
    <row r="191" spans="1:14" ht="12.75" x14ac:dyDescent="0.2">
      <c r="A191">
        <v>6952</v>
      </c>
      <c r="B191" s="342">
        <v>32100</v>
      </c>
      <c r="C191" t="s">
        <v>322</v>
      </c>
      <c r="D191">
        <v>0</v>
      </c>
      <c r="E191">
        <v>0</v>
      </c>
      <c r="F191">
        <v>0</v>
      </c>
      <c r="G191">
        <v>0</v>
      </c>
      <c r="H191">
        <v>0</v>
      </c>
      <c r="I191">
        <v>0</v>
      </c>
      <c r="J191">
        <v>0</v>
      </c>
      <c r="K191">
        <v>0</v>
      </c>
      <c r="L191">
        <v>0</v>
      </c>
      <c r="M191">
        <v>0</v>
      </c>
      <c r="N191">
        <v>0</v>
      </c>
    </row>
    <row r="192" spans="1:14" ht="12.75" x14ac:dyDescent="0.2">
      <c r="A192">
        <v>6952</v>
      </c>
      <c r="B192" s="342">
        <v>33010</v>
      </c>
      <c r="C192" t="s">
        <v>324</v>
      </c>
      <c r="D192">
        <v>61785.8</v>
      </c>
      <c r="E192">
        <v>480594.73</v>
      </c>
      <c r="F192">
        <v>408330</v>
      </c>
      <c r="G192">
        <v>488856.51</v>
      </c>
      <c r="H192">
        <v>488856.51</v>
      </c>
      <c r="I192">
        <v>408330</v>
      </c>
      <c r="J192">
        <v>61785.8</v>
      </c>
      <c r="K192">
        <v>488111.33</v>
      </c>
      <c r="L192">
        <v>492632.82</v>
      </c>
      <c r="M192">
        <v>492632.82</v>
      </c>
      <c r="N192">
        <v>0</v>
      </c>
    </row>
    <row r="193" spans="1:14" ht="12.75" x14ac:dyDescent="0.2">
      <c r="A193">
        <v>6952</v>
      </c>
      <c r="B193" s="342">
        <v>33011</v>
      </c>
      <c r="C193" t="s">
        <v>1484</v>
      </c>
      <c r="D193">
        <v>13348.95</v>
      </c>
      <c r="E193">
        <v>84523.21</v>
      </c>
      <c r="F193">
        <v>71225</v>
      </c>
      <c r="G193">
        <v>60126.87</v>
      </c>
      <c r="H193">
        <v>60126.87</v>
      </c>
      <c r="I193">
        <v>71225</v>
      </c>
      <c r="J193">
        <v>13348.95</v>
      </c>
      <c r="K193">
        <v>84523.21</v>
      </c>
      <c r="L193">
        <v>60126.87</v>
      </c>
      <c r="M193">
        <v>60126.87</v>
      </c>
      <c r="N193">
        <v>0</v>
      </c>
    </row>
    <row r="194" spans="1:14" ht="12.75" x14ac:dyDescent="0.2">
      <c r="A194">
        <v>6952</v>
      </c>
      <c r="B194" s="342">
        <v>33012</v>
      </c>
      <c r="C194" t="s">
        <v>1485</v>
      </c>
      <c r="D194">
        <v>15535.81</v>
      </c>
      <c r="E194">
        <v>86260.24</v>
      </c>
      <c r="F194">
        <v>72291</v>
      </c>
      <c r="G194">
        <v>12941.23</v>
      </c>
      <c r="H194">
        <v>12941.23</v>
      </c>
      <c r="I194">
        <v>72291</v>
      </c>
      <c r="J194">
        <v>15535.81</v>
      </c>
      <c r="K194">
        <v>86260.24</v>
      </c>
      <c r="L194">
        <v>12941.23</v>
      </c>
      <c r="M194">
        <v>12941.23</v>
      </c>
      <c r="N194">
        <v>0</v>
      </c>
    </row>
    <row r="195" spans="1:14" ht="12.75" x14ac:dyDescent="0.2">
      <c r="A195">
        <v>6952</v>
      </c>
      <c r="B195" s="342">
        <v>33013</v>
      </c>
      <c r="C195" t="s">
        <v>1554</v>
      </c>
      <c r="D195">
        <v>13115.02</v>
      </c>
      <c r="E195">
        <v>39799.07</v>
      </c>
      <c r="F195">
        <v>118702</v>
      </c>
      <c r="G195">
        <v>0</v>
      </c>
      <c r="H195">
        <v>0</v>
      </c>
      <c r="I195">
        <v>118702</v>
      </c>
      <c r="J195">
        <v>13115.02</v>
      </c>
      <c r="K195">
        <v>39799.07</v>
      </c>
      <c r="L195">
        <v>0</v>
      </c>
      <c r="M195">
        <v>0</v>
      </c>
      <c r="N195">
        <v>0</v>
      </c>
    </row>
    <row r="196" spans="1:14" ht="12.75" x14ac:dyDescent="0.2">
      <c r="A196">
        <v>6952</v>
      </c>
      <c r="B196" s="342">
        <v>33015</v>
      </c>
      <c r="C196" t="s">
        <v>1663</v>
      </c>
      <c r="D196">
        <v>483.57</v>
      </c>
      <c r="E196">
        <v>483.57</v>
      </c>
      <c r="F196">
        <v>0</v>
      </c>
      <c r="G196">
        <v>86414</v>
      </c>
      <c r="H196">
        <v>86414</v>
      </c>
      <c r="I196">
        <v>0</v>
      </c>
      <c r="J196">
        <v>483.57</v>
      </c>
      <c r="K196">
        <v>483.57</v>
      </c>
      <c r="L196">
        <v>86414</v>
      </c>
      <c r="M196">
        <v>86414</v>
      </c>
      <c r="N196">
        <v>0</v>
      </c>
    </row>
    <row r="197" spans="1:14" ht="12.75" x14ac:dyDescent="0.2">
      <c r="A197">
        <v>6952</v>
      </c>
      <c r="B197" s="342">
        <v>33020</v>
      </c>
      <c r="C197" t="s">
        <v>325</v>
      </c>
      <c r="D197">
        <v>0</v>
      </c>
      <c r="E197">
        <v>3020.57</v>
      </c>
      <c r="F197">
        <v>3891</v>
      </c>
      <c r="G197">
        <v>1845.22</v>
      </c>
      <c r="H197">
        <v>1845.22</v>
      </c>
      <c r="I197">
        <v>3891</v>
      </c>
      <c r="J197">
        <v>0</v>
      </c>
      <c r="K197">
        <v>3020.57</v>
      </c>
      <c r="L197">
        <v>1845.22</v>
      </c>
      <c r="M197">
        <v>1845.22</v>
      </c>
      <c r="N197">
        <v>0</v>
      </c>
    </row>
    <row r="198" spans="1:14" ht="12.75" x14ac:dyDescent="0.2">
      <c r="A198">
        <v>6952</v>
      </c>
      <c r="B198" s="342">
        <v>33040</v>
      </c>
      <c r="C198" t="s">
        <v>326</v>
      </c>
      <c r="D198">
        <v>51</v>
      </c>
      <c r="E198">
        <v>904.61</v>
      </c>
      <c r="F198">
        <v>1500</v>
      </c>
      <c r="G198">
        <v>2107.6999999999998</v>
      </c>
      <c r="H198">
        <v>2107.6999999999998</v>
      </c>
      <c r="I198">
        <v>1500</v>
      </c>
      <c r="J198">
        <v>51</v>
      </c>
      <c r="K198">
        <v>904.61</v>
      </c>
      <c r="L198">
        <v>2107.6999999999998</v>
      </c>
      <c r="M198">
        <v>2107.6999999999998</v>
      </c>
      <c r="N198">
        <v>0</v>
      </c>
    </row>
    <row r="199" spans="1:14" ht="12.75" x14ac:dyDescent="0.2">
      <c r="A199">
        <v>6952</v>
      </c>
      <c r="B199" s="342">
        <v>33050</v>
      </c>
      <c r="C199" t="s">
        <v>327</v>
      </c>
      <c r="D199">
        <v>0</v>
      </c>
      <c r="E199">
        <v>0</v>
      </c>
      <c r="F199">
        <v>2000</v>
      </c>
      <c r="G199">
        <v>0</v>
      </c>
      <c r="H199">
        <v>0</v>
      </c>
      <c r="I199">
        <v>2000</v>
      </c>
      <c r="J199">
        <v>0</v>
      </c>
      <c r="K199">
        <v>0</v>
      </c>
      <c r="L199">
        <v>0</v>
      </c>
      <c r="M199">
        <v>0</v>
      </c>
      <c r="N199">
        <v>0</v>
      </c>
    </row>
    <row r="200" spans="1:14" ht="12.75" x14ac:dyDescent="0.2">
      <c r="A200">
        <v>6952</v>
      </c>
      <c r="B200" s="342">
        <v>33070</v>
      </c>
      <c r="C200" t="s">
        <v>328</v>
      </c>
      <c r="D200">
        <v>0</v>
      </c>
      <c r="E200">
        <v>0</v>
      </c>
      <c r="F200">
        <v>1400</v>
      </c>
      <c r="G200">
        <v>0</v>
      </c>
      <c r="H200">
        <v>0</v>
      </c>
      <c r="I200">
        <v>1400</v>
      </c>
      <c r="J200">
        <v>0</v>
      </c>
      <c r="K200">
        <v>0</v>
      </c>
      <c r="L200">
        <v>0</v>
      </c>
      <c r="M200">
        <v>0</v>
      </c>
      <c r="N200">
        <v>0</v>
      </c>
    </row>
    <row r="201" spans="1:14" ht="12.75" x14ac:dyDescent="0.2">
      <c r="A201">
        <v>6952</v>
      </c>
      <c r="B201" s="342">
        <v>33220</v>
      </c>
      <c r="C201" t="s">
        <v>313</v>
      </c>
      <c r="D201">
        <v>0</v>
      </c>
      <c r="E201">
        <v>0</v>
      </c>
      <c r="F201">
        <v>0</v>
      </c>
      <c r="G201">
        <v>0</v>
      </c>
      <c r="H201">
        <v>0</v>
      </c>
      <c r="I201">
        <v>0</v>
      </c>
      <c r="J201">
        <v>0</v>
      </c>
      <c r="K201">
        <v>0</v>
      </c>
      <c r="L201">
        <v>0</v>
      </c>
      <c r="M201">
        <v>0</v>
      </c>
      <c r="N201">
        <v>0</v>
      </c>
    </row>
    <row r="202" spans="1:14" ht="12.75" x14ac:dyDescent="0.2">
      <c r="A202">
        <v>6952</v>
      </c>
      <c r="B202" s="342">
        <v>33285</v>
      </c>
      <c r="C202" t="s">
        <v>1664</v>
      </c>
      <c r="D202">
        <v>4402.47</v>
      </c>
      <c r="E202">
        <v>9808.93</v>
      </c>
      <c r="F202">
        <v>6518</v>
      </c>
      <c r="G202">
        <v>6823.88</v>
      </c>
      <c r="H202">
        <v>6823.88</v>
      </c>
      <c r="I202">
        <v>6518</v>
      </c>
      <c r="J202">
        <v>4402.47</v>
      </c>
      <c r="K202">
        <v>9808.93</v>
      </c>
      <c r="L202">
        <v>6823.88</v>
      </c>
      <c r="M202">
        <v>6823.88</v>
      </c>
      <c r="N202">
        <v>0</v>
      </c>
    </row>
    <row r="203" spans="1:14" ht="12.75" x14ac:dyDescent="0.2">
      <c r="A203">
        <v>6952</v>
      </c>
      <c r="B203" s="342">
        <v>33290</v>
      </c>
      <c r="C203" t="s">
        <v>330</v>
      </c>
      <c r="D203">
        <v>124.13</v>
      </c>
      <c r="E203">
        <v>310.95999999999998</v>
      </c>
      <c r="F203">
        <v>0</v>
      </c>
      <c r="G203">
        <v>346.84</v>
      </c>
      <c r="H203">
        <v>346.84</v>
      </c>
      <c r="I203">
        <v>0</v>
      </c>
      <c r="J203">
        <v>124.13</v>
      </c>
      <c r="K203">
        <v>310.95999999999998</v>
      </c>
      <c r="L203">
        <v>346.84</v>
      </c>
      <c r="M203">
        <v>346.84</v>
      </c>
      <c r="N203">
        <v>0</v>
      </c>
    </row>
    <row r="204" spans="1:14" ht="12.75" x14ac:dyDescent="0.2">
      <c r="A204">
        <v>6952</v>
      </c>
      <c r="B204" s="342">
        <v>33295</v>
      </c>
      <c r="C204" t="s">
        <v>331</v>
      </c>
      <c r="D204">
        <v>0</v>
      </c>
      <c r="E204">
        <v>0</v>
      </c>
      <c r="F204">
        <v>0</v>
      </c>
      <c r="G204">
        <v>0</v>
      </c>
      <c r="H204">
        <v>0</v>
      </c>
      <c r="I204">
        <v>0</v>
      </c>
      <c r="J204">
        <v>0</v>
      </c>
      <c r="K204">
        <v>0</v>
      </c>
      <c r="L204">
        <v>0</v>
      </c>
      <c r="M204">
        <v>0</v>
      </c>
      <c r="N204">
        <v>0</v>
      </c>
    </row>
    <row r="205" spans="1:14" ht="12.75" x14ac:dyDescent="0.2">
      <c r="A205">
        <v>6952</v>
      </c>
      <c r="B205" s="342">
        <v>33310</v>
      </c>
      <c r="C205" t="s">
        <v>332</v>
      </c>
      <c r="D205">
        <v>0</v>
      </c>
      <c r="E205">
        <v>0</v>
      </c>
      <c r="F205">
        <v>0</v>
      </c>
      <c r="G205">
        <v>0</v>
      </c>
      <c r="H205">
        <v>0</v>
      </c>
      <c r="I205">
        <v>0</v>
      </c>
      <c r="J205">
        <v>0</v>
      </c>
      <c r="K205">
        <v>0</v>
      </c>
      <c r="L205">
        <v>0</v>
      </c>
      <c r="M205">
        <v>0</v>
      </c>
      <c r="N205">
        <v>0</v>
      </c>
    </row>
    <row r="206" spans="1:14" ht="12.75" x14ac:dyDescent="0.2">
      <c r="A206">
        <v>6952</v>
      </c>
      <c r="B206" s="342">
        <v>33400</v>
      </c>
      <c r="C206" t="s">
        <v>333</v>
      </c>
      <c r="D206">
        <v>165.48</v>
      </c>
      <c r="E206">
        <v>1540.52</v>
      </c>
      <c r="F206">
        <v>4500</v>
      </c>
      <c r="G206">
        <v>2387.9</v>
      </c>
      <c r="H206">
        <v>2387.9</v>
      </c>
      <c r="I206">
        <v>4500</v>
      </c>
      <c r="J206">
        <v>165.48</v>
      </c>
      <c r="K206">
        <v>1540.52</v>
      </c>
      <c r="L206">
        <v>2387.9</v>
      </c>
      <c r="M206">
        <v>2387.9</v>
      </c>
      <c r="N206">
        <v>0</v>
      </c>
    </row>
    <row r="207" spans="1:14" ht="12.75" x14ac:dyDescent="0.2">
      <c r="A207">
        <v>6952</v>
      </c>
      <c r="B207" s="342">
        <v>33410</v>
      </c>
      <c r="C207" t="s">
        <v>334</v>
      </c>
      <c r="D207">
        <v>0</v>
      </c>
      <c r="E207">
        <v>0</v>
      </c>
      <c r="F207">
        <v>850</v>
      </c>
      <c r="G207">
        <v>45</v>
      </c>
      <c r="H207">
        <v>45</v>
      </c>
      <c r="I207">
        <v>850</v>
      </c>
      <c r="J207">
        <v>0</v>
      </c>
      <c r="K207">
        <v>0</v>
      </c>
      <c r="L207">
        <v>45</v>
      </c>
      <c r="M207">
        <v>45</v>
      </c>
      <c r="N207">
        <v>0</v>
      </c>
    </row>
    <row r="208" spans="1:14" ht="12.75" x14ac:dyDescent="0.2">
      <c r="A208">
        <v>6952</v>
      </c>
      <c r="B208" s="342">
        <v>33420</v>
      </c>
      <c r="C208" t="s">
        <v>335</v>
      </c>
      <c r="D208">
        <v>0</v>
      </c>
      <c r="E208">
        <v>217.39</v>
      </c>
      <c r="F208">
        <v>1500</v>
      </c>
      <c r="G208">
        <v>264.57</v>
      </c>
      <c r="H208">
        <v>264.57</v>
      </c>
      <c r="I208">
        <v>1500</v>
      </c>
      <c r="J208">
        <v>0</v>
      </c>
      <c r="K208">
        <v>217.39</v>
      </c>
      <c r="L208">
        <v>264.57</v>
      </c>
      <c r="M208">
        <v>264.57</v>
      </c>
      <c r="N208">
        <v>0</v>
      </c>
    </row>
    <row r="209" spans="1:14" ht="12.75" x14ac:dyDescent="0.2">
      <c r="A209">
        <v>6952</v>
      </c>
      <c r="B209" s="342">
        <v>33430</v>
      </c>
      <c r="C209" t="s">
        <v>336</v>
      </c>
      <c r="D209">
        <v>0</v>
      </c>
      <c r="E209">
        <v>9000</v>
      </c>
      <c r="F209">
        <v>9000</v>
      </c>
      <c r="G209">
        <v>2152.5</v>
      </c>
      <c r="H209">
        <v>2152.5</v>
      </c>
      <c r="I209">
        <v>9000</v>
      </c>
      <c r="J209">
        <v>0</v>
      </c>
      <c r="K209">
        <v>9000</v>
      </c>
      <c r="L209">
        <v>2152.5</v>
      </c>
      <c r="M209">
        <v>2152.5</v>
      </c>
      <c r="N209">
        <v>0</v>
      </c>
    </row>
    <row r="210" spans="1:14" ht="12.75" x14ac:dyDescent="0.2">
      <c r="A210">
        <v>6952</v>
      </c>
      <c r="B210" s="342">
        <v>33440</v>
      </c>
      <c r="C210" t="s">
        <v>337</v>
      </c>
      <c r="D210">
        <v>0</v>
      </c>
      <c r="E210">
        <v>4801.58</v>
      </c>
      <c r="F210">
        <v>3800</v>
      </c>
      <c r="G210">
        <v>1275</v>
      </c>
      <c r="H210">
        <v>1275</v>
      </c>
      <c r="I210">
        <v>3800</v>
      </c>
      <c r="J210">
        <v>0</v>
      </c>
      <c r="K210">
        <v>4801.58</v>
      </c>
      <c r="L210">
        <v>1275</v>
      </c>
      <c r="M210">
        <v>1275</v>
      </c>
      <c r="N210">
        <v>0</v>
      </c>
    </row>
    <row r="211" spans="1:14" ht="12.75" x14ac:dyDescent="0.2">
      <c r="A211">
        <v>6952</v>
      </c>
      <c r="B211" s="342">
        <v>33450</v>
      </c>
      <c r="C211" t="s">
        <v>338</v>
      </c>
      <c r="D211">
        <v>9059.36</v>
      </c>
      <c r="E211">
        <v>60874.78</v>
      </c>
      <c r="F211">
        <v>54000</v>
      </c>
      <c r="G211">
        <v>50450.78</v>
      </c>
      <c r="H211">
        <v>50450.78</v>
      </c>
      <c r="I211">
        <v>54000</v>
      </c>
      <c r="J211">
        <v>9059.36</v>
      </c>
      <c r="K211">
        <v>60874.78</v>
      </c>
      <c r="L211">
        <v>50450.78</v>
      </c>
      <c r="M211">
        <v>50450.78</v>
      </c>
      <c r="N211">
        <v>0</v>
      </c>
    </row>
    <row r="212" spans="1:14" ht="12.75" x14ac:dyDescent="0.2">
      <c r="A212">
        <v>6952</v>
      </c>
      <c r="B212" s="342">
        <v>33460</v>
      </c>
      <c r="C212" t="s">
        <v>339</v>
      </c>
      <c r="D212">
        <v>-828.8</v>
      </c>
      <c r="E212">
        <v>62143.5</v>
      </c>
      <c r="F212">
        <v>72600</v>
      </c>
      <c r="G212">
        <v>67116.210000000006</v>
      </c>
      <c r="H212">
        <v>67116.210000000006</v>
      </c>
      <c r="I212">
        <v>72600</v>
      </c>
      <c r="J212">
        <v>-828.8</v>
      </c>
      <c r="K212">
        <v>68529.02</v>
      </c>
      <c r="L212">
        <v>75116.210000000006</v>
      </c>
      <c r="M212">
        <v>75116.210000000006</v>
      </c>
      <c r="N212">
        <v>0</v>
      </c>
    </row>
    <row r="213" spans="1:14" ht="12.75" x14ac:dyDescent="0.2">
      <c r="A213">
        <v>6952</v>
      </c>
      <c r="B213">
        <v>33465</v>
      </c>
      <c r="C213" t="s">
        <v>1665</v>
      </c>
      <c r="D213">
        <v>0</v>
      </c>
      <c r="E213">
        <v>0</v>
      </c>
      <c r="F213">
        <v>0</v>
      </c>
      <c r="G213">
        <v>0</v>
      </c>
      <c r="H213">
        <v>0</v>
      </c>
      <c r="I213">
        <v>0</v>
      </c>
      <c r="J213">
        <v>0</v>
      </c>
      <c r="K213">
        <v>0</v>
      </c>
      <c r="L213">
        <v>0</v>
      </c>
      <c r="M213">
        <v>0</v>
      </c>
      <c r="N213">
        <v>0</v>
      </c>
    </row>
    <row r="214" spans="1:14" ht="12.75" x14ac:dyDescent="0.2">
      <c r="A214">
        <v>6952</v>
      </c>
      <c r="B214" s="342">
        <v>33470</v>
      </c>
      <c r="C214" t="s">
        <v>340</v>
      </c>
      <c r="D214">
        <v>11322.13</v>
      </c>
      <c r="E214">
        <v>69786.83</v>
      </c>
      <c r="F214">
        <v>76000</v>
      </c>
      <c r="G214">
        <v>44338</v>
      </c>
      <c r="H214">
        <v>44338</v>
      </c>
      <c r="I214">
        <v>76000</v>
      </c>
      <c r="J214">
        <v>11322.13</v>
      </c>
      <c r="K214">
        <v>69786.83</v>
      </c>
      <c r="L214">
        <v>44338</v>
      </c>
      <c r="M214">
        <v>44338</v>
      </c>
      <c r="N214">
        <v>0</v>
      </c>
    </row>
    <row r="215" spans="1:14" ht="12.75" x14ac:dyDescent="0.2">
      <c r="A215">
        <v>6952</v>
      </c>
      <c r="B215" s="342">
        <v>33475</v>
      </c>
      <c r="C215" t="s">
        <v>341</v>
      </c>
      <c r="D215">
        <v>0</v>
      </c>
      <c r="E215">
        <v>0</v>
      </c>
      <c r="F215">
        <v>0</v>
      </c>
      <c r="G215">
        <v>0</v>
      </c>
      <c r="H215">
        <v>0</v>
      </c>
      <c r="I215">
        <v>0</v>
      </c>
      <c r="J215">
        <v>0</v>
      </c>
      <c r="K215">
        <v>0</v>
      </c>
      <c r="L215">
        <v>0</v>
      </c>
      <c r="M215">
        <v>0</v>
      </c>
      <c r="N215">
        <v>0</v>
      </c>
    </row>
    <row r="216" spans="1:14" ht="12.75" x14ac:dyDescent="0.2">
      <c r="A216">
        <v>6952</v>
      </c>
      <c r="B216" s="342">
        <v>33480</v>
      </c>
      <c r="C216" t="s">
        <v>342</v>
      </c>
      <c r="D216">
        <v>0</v>
      </c>
      <c r="E216">
        <v>1669.56</v>
      </c>
      <c r="F216">
        <v>3500</v>
      </c>
      <c r="G216">
        <v>920.01</v>
      </c>
      <c r="H216">
        <v>920.01</v>
      </c>
      <c r="I216">
        <v>3500</v>
      </c>
      <c r="J216">
        <v>0</v>
      </c>
      <c r="K216">
        <v>1669.56</v>
      </c>
      <c r="L216">
        <v>920.01</v>
      </c>
      <c r="M216">
        <v>920.01</v>
      </c>
      <c r="N216">
        <v>0</v>
      </c>
    </row>
    <row r="217" spans="1:14" ht="12.75" x14ac:dyDescent="0.2">
      <c r="A217">
        <v>6952</v>
      </c>
      <c r="B217" s="342">
        <v>33495</v>
      </c>
      <c r="C217" t="s">
        <v>343</v>
      </c>
      <c r="D217">
        <v>0</v>
      </c>
      <c r="E217">
        <v>0</v>
      </c>
      <c r="F217">
        <v>0</v>
      </c>
      <c r="G217">
        <v>0</v>
      </c>
      <c r="H217">
        <v>0</v>
      </c>
      <c r="I217">
        <v>0</v>
      </c>
      <c r="J217">
        <v>0</v>
      </c>
      <c r="K217">
        <v>0</v>
      </c>
      <c r="L217">
        <v>0</v>
      </c>
      <c r="M217">
        <v>0</v>
      </c>
      <c r="N217">
        <v>0</v>
      </c>
    </row>
    <row r="218" spans="1:14" ht="12.75" x14ac:dyDescent="0.2">
      <c r="A218">
        <v>6952</v>
      </c>
      <c r="B218" s="342">
        <v>33500</v>
      </c>
      <c r="C218" t="s">
        <v>1122</v>
      </c>
      <c r="D218">
        <v>994.28</v>
      </c>
      <c r="E218">
        <v>27864.11</v>
      </c>
      <c r="F218">
        <v>57000</v>
      </c>
      <c r="G218">
        <v>35656.800000000003</v>
      </c>
      <c r="H218">
        <v>35656.800000000003</v>
      </c>
      <c r="I218">
        <v>57000</v>
      </c>
      <c r="J218">
        <v>994.28</v>
      </c>
      <c r="K218">
        <v>31299.93</v>
      </c>
      <c r="L218">
        <v>35875.07</v>
      </c>
      <c r="M218">
        <v>35875.07</v>
      </c>
      <c r="N218">
        <v>0</v>
      </c>
    </row>
    <row r="219" spans="1:14" ht="12.75" x14ac:dyDescent="0.2">
      <c r="A219">
        <v>6952</v>
      </c>
      <c r="B219" s="342">
        <v>33502</v>
      </c>
      <c r="C219" t="s">
        <v>344</v>
      </c>
      <c r="D219">
        <v>0</v>
      </c>
      <c r="E219">
        <v>0</v>
      </c>
      <c r="F219">
        <v>0</v>
      </c>
      <c r="G219">
        <v>0</v>
      </c>
      <c r="H219">
        <v>0</v>
      </c>
      <c r="I219">
        <v>0</v>
      </c>
      <c r="J219">
        <v>0</v>
      </c>
      <c r="K219">
        <v>0</v>
      </c>
      <c r="L219">
        <v>0</v>
      </c>
      <c r="M219">
        <v>0</v>
      </c>
      <c r="N219">
        <v>0</v>
      </c>
    </row>
    <row r="220" spans="1:14" ht="12.75" x14ac:dyDescent="0.2">
      <c r="A220">
        <v>6952</v>
      </c>
      <c r="B220" s="342">
        <v>33510</v>
      </c>
      <c r="C220" t="s">
        <v>1123</v>
      </c>
      <c r="D220">
        <v>0</v>
      </c>
      <c r="E220">
        <v>14037.93</v>
      </c>
      <c r="F220">
        <v>23500</v>
      </c>
      <c r="G220">
        <v>18870.189999999999</v>
      </c>
      <c r="H220">
        <v>18870.189999999999</v>
      </c>
      <c r="I220">
        <v>23500</v>
      </c>
      <c r="J220">
        <v>0</v>
      </c>
      <c r="K220">
        <v>14037.93</v>
      </c>
      <c r="L220">
        <v>18870.189999999999</v>
      </c>
      <c r="M220">
        <v>18870.189999999999</v>
      </c>
      <c r="N220">
        <v>0</v>
      </c>
    </row>
    <row r="221" spans="1:14" ht="12.75" x14ac:dyDescent="0.2">
      <c r="A221">
        <v>6952</v>
      </c>
      <c r="B221" s="342">
        <v>33512</v>
      </c>
      <c r="C221" t="s">
        <v>345</v>
      </c>
      <c r="D221">
        <v>0</v>
      </c>
      <c r="E221">
        <v>0</v>
      </c>
      <c r="F221">
        <v>3500</v>
      </c>
      <c r="G221">
        <v>0</v>
      </c>
      <c r="H221">
        <v>0</v>
      </c>
      <c r="I221">
        <v>3500</v>
      </c>
      <c r="J221">
        <v>0</v>
      </c>
      <c r="K221">
        <v>0</v>
      </c>
      <c r="L221">
        <v>0</v>
      </c>
      <c r="M221">
        <v>0</v>
      </c>
      <c r="N221">
        <v>0</v>
      </c>
    </row>
    <row r="222" spans="1:14" ht="12.75" x14ac:dyDescent="0.2">
      <c r="A222">
        <v>6952</v>
      </c>
      <c r="B222" s="342">
        <v>33515</v>
      </c>
      <c r="C222" t="s">
        <v>346</v>
      </c>
      <c r="D222">
        <v>0</v>
      </c>
      <c r="E222">
        <v>0</v>
      </c>
      <c r="F222">
        <v>0</v>
      </c>
      <c r="G222">
        <v>0</v>
      </c>
      <c r="H222">
        <v>0</v>
      </c>
      <c r="I222">
        <v>0</v>
      </c>
      <c r="J222">
        <v>0</v>
      </c>
      <c r="K222">
        <v>0</v>
      </c>
      <c r="L222">
        <v>0</v>
      </c>
      <c r="M222">
        <v>0</v>
      </c>
      <c r="N222">
        <v>0</v>
      </c>
    </row>
    <row r="223" spans="1:14" ht="12.75" x14ac:dyDescent="0.2">
      <c r="A223">
        <v>6952</v>
      </c>
      <c r="B223" s="342">
        <v>33520</v>
      </c>
      <c r="C223" t="s">
        <v>347</v>
      </c>
      <c r="D223">
        <v>0</v>
      </c>
      <c r="E223">
        <v>3188.98</v>
      </c>
      <c r="F223">
        <v>2800</v>
      </c>
      <c r="G223">
        <v>5600</v>
      </c>
      <c r="H223">
        <v>5600</v>
      </c>
      <c r="I223">
        <v>2800</v>
      </c>
      <c r="J223">
        <v>0</v>
      </c>
      <c r="K223">
        <v>3188.98</v>
      </c>
      <c r="L223">
        <v>5600</v>
      </c>
      <c r="M223">
        <v>5600</v>
      </c>
      <c r="N223">
        <v>0</v>
      </c>
    </row>
    <row r="224" spans="1:14" ht="12.75" x14ac:dyDescent="0.2">
      <c r="A224">
        <v>6952</v>
      </c>
      <c r="B224" s="342">
        <v>33525</v>
      </c>
      <c r="C224" t="s">
        <v>348</v>
      </c>
      <c r="D224">
        <v>3067.05</v>
      </c>
      <c r="E224">
        <v>24165.03</v>
      </c>
      <c r="F224">
        <v>37600</v>
      </c>
      <c r="G224">
        <v>8623.48</v>
      </c>
      <c r="H224">
        <v>8623.48</v>
      </c>
      <c r="I224">
        <v>37600</v>
      </c>
      <c r="J224">
        <v>3067.05</v>
      </c>
      <c r="K224">
        <v>24165.03</v>
      </c>
      <c r="L224">
        <v>8623.48</v>
      </c>
      <c r="M224">
        <v>8623.48</v>
      </c>
      <c r="N224">
        <v>0</v>
      </c>
    </row>
    <row r="225" spans="1:14" ht="12.75" x14ac:dyDescent="0.2">
      <c r="A225">
        <v>6952</v>
      </c>
      <c r="B225" s="342">
        <v>33530</v>
      </c>
      <c r="C225" t="s">
        <v>349</v>
      </c>
      <c r="D225">
        <v>0</v>
      </c>
      <c r="E225">
        <v>0</v>
      </c>
      <c r="F225">
        <v>0</v>
      </c>
      <c r="G225">
        <v>0</v>
      </c>
      <c r="H225">
        <v>0</v>
      </c>
      <c r="I225">
        <v>0</v>
      </c>
      <c r="J225">
        <v>0</v>
      </c>
      <c r="K225">
        <v>0</v>
      </c>
      <c r="L225">
        <v>0</v>
      </c>
      <c r="M225">
        <v>0</v>
      </c>
      <c r="N225">
        <v>0</v>
      </c>
    </row>
    <row r="226" spans="1:14" ht="12.75" x14ac:dyDescent="0.2">
      <c r="A226">
        <v>6952</v>
      </c>
      <c r="B226" s="342">
        <v>33540</v>
      </c>
      <c r="C226" t="s">
        <v>350</v>
      </c>
      <c r="D226">
        <v>0</v>
      </c>
      <c r="E226">
        <v>150</v>
      </c>
      <c r="F226">
        <v>600</v>
      </c>
      <c r="G226">
        <v>0</v>
      </c>
      <c r="H226">
        <v>0</v>
      </c>
      <c r="I226">
        <v>600</v>
      </c>
      <c r="J226">
        <v>0</v>
      </c>
      <c r="K226">
        <v>150</v>
      </c>
      <c r="L226">
        <v>0</v>
      </c>
      <c r="M226">
        <v>0</v>
      </c>
      <c r="N226">
        <v>0</v>
      </c>
    </row>
    <row r="227" spans="1:14" ht="12.75" x14ac:dyDescent="0.2">
      <c r="A227">
        <v>6952</v>
      </c>
      <c r="B227" s="342">
        <v>33550</v>
      </c>
      <c r="C227" t="s">
        <v>351</v>
      </c>
      <c r="D227">
        <v>0</v>
      </c>
      <c r="E227">
        <v>0</v>
      </c>
      <c r="F227">
        <v>0</v>
      </c>
      <c r="G227">
        <v>0</v>
      </c>
      <c r="H227">
        <v>0</v>
      </c>
      <c r="I227">
        <v>0</v>
      </c>
      <c r="J227">
        <v>0</v>
      </c>
      <c r="K227">
        <v>0</v>
      </c>
      <c r="L227">
        <v>0</v>
      </c>
      <c r="M227">
        <v>0</v>
      </c>
      <c r="N227">
        <v>0</v>
      </c>
    </row>
    <row r="228" spans="1:14" ht="12.75" x14ac:dyDescent="0.2">
      <c r="A228">
        <v>6952</v>
      </c>
      <c r="B228" s="342">
        <v>33555</v>
      </c>
      <c r="C228" t="s">
        <v>313</v>
      </c>
      <c r="D228">
        <v>0</v>
      </c>
      <c r="E228">
        <v>0</v>
      </c>
      <c r="F228">
        <v>0</v>
      </c>
      <c r="G228">
        <v>0</v>
      </c>
      <c r="H228">
        <v>0</v>
      </c>
      <c r="I228">
        <v>0</v>
      </c>
      <c r="J228">
        <v>0</v>
      </c>
      <c r="K228">
        <v>0</v>
      </c>
      <c r="L228">
        <v>0</v>
      </c>
      <c r="M228">
        <v>0</v>
      </c>
      <c r="N228">
        <v>0</v>
      </c>
    </row>
    <row r="229" spans="1:14" ht="12.75" x14ac:dyDescent="0.2">
      <c r="A229">
        <v>6952</v>
      </c>
      <c r="B229" s="342">
        <v>33560</v>
      </c>
      <c r="C229" t="s">
        <v>352</v>
      </c>
      <c r="D229">
        <v>1753.49</v>
      </c>
      <c r="E229">
        <v>10500.61</v>
      </c>
      <c r="F229">
        <v>12500</v>
      </c>
      <c r="G229">
        <v>3446.75</v>
      </c>
      <c r="H229">
        <v>3446.75</v>
      </c>
      <c r="I229">
        <v>12500</v>
      </c>
      <c r="J229">
        <v>1753.49</v>
      </c>
      <c r="K229">
        <v>10500.61</v>
      </c>
      <c r="L229">
        <v>3446.75</v>
      </c>
      <c r="M229">
        <v>3446.75</v>
      </c>
      <c r="N229">
        <v>0</v>
      </c>
    </row>
    <row r="230" spans="1:14" ht="12.75" x14ac:dyDescent="0.2">
      <c r="A230">
        <v>6952</v>
      </c>
      <c r="B230" s="342">
        <v>33565</v>
      </c>
      <c r="C230" t="s">
        <v>955</v>
      </c>
      <c r="D230">
        <v>1055.8900000000001</v>
      </c>
      <c r="E230">
        <v>7725.59</v>
      </c>
      <c r="F230">
        <v>9000</v>
      </c>
      <c r="G230">
        <v>6192.73</v>
      </c>
      <c r="H230">
        <v>6192.73</v>
      </c>
      <c r="I230">
        <v>9000</v>
      </c>
      <c r="J230">
        <v>1055.8900000000001</v>
      </c>
      <c r="K230">
        <v>7725.59</v>
      </c>
      <c r="L230">
        <v>6192.73</v>
      </c>
      <c r="M230">
        <v>6192.73</v>
      </c>
      <c r="N230">
        <v>0</v>
      </c>
    </row>
    <row r="231" spans="1:14" ht="12.75" x14ac:dyDescent="0.2">
      <c r="A231">
        <v>6952</v>
      </c>
      <c r="B231" s="342">
        <v>33566</v>
      </c>
      <c r="C231" t="s">
        <v>1124</v>
      </c>
      <c r="D231">
        <v>8816.7800000000007</v>
      </c>
      <c r="E231">
        <v>55209.7</v>
      </c>
      <c r="F231">
        <v>55947</v>
      </c>
      <c r="G231">
        <v>0</v>
      </c>
      <c r="H231">
        <v>0</v>
      </c>
      <c r="I231">
        <v>55947</v>
      </c>
      <c r="J231">
        <v>8816.7800000000007</v>
      </c>
      <c r="K231">
        <v>55209.7</v>
      </c>
      <c r="L231">
        <v>0</v>
      </c>
      <c r="M231">
        <v>0</v>
      </c>
      <c r="N231">
        <v>0</v>
      </c>
    </row>
    <row r="232" spans="1:14" ht="12.75" x14ac:dyDescent="0.2">
      <c r="A232">
        <v>6952</v>
      </c>
      <c r="B232" s="342">
        <v>33567</v>
      </c>
      <c r="C232" t="s">
        <v>347</v>
      </c>
      <c r="D232">
        <v>0</v>
      </c>
      <c r="E232">
        <v>10200</v>
      </c>
      <c r="F232">
        <v>5600</v>
      </c>
      <c r="G232">
        <v>0</v>
      </c>
      <c r="H232">
        <v>0</v>
      </c>
      <c r="I232">
        <v>5600</v>
      </c>
      <c r="J232">
        <v>0</v>
      </c>
      <c r="K232">
        <v>10200</v>
      </c>
      <c r="L232">
        <v>0</v>
      </c>
      <c r="M232">
        <v>0</v>
      </c>
      <c r="N232">
        <v>0</v>
      </c>
    </row>
    <row r="233" spans="1:14" ht="12.75" x14ac:dyDescent="0.2">
      <c r="A233">
        <v>6952</v>
      </c>
      <c r="B233" s="342">
        <v>33568</v>
      </c>
      <c r="C233" t="s">
        <v>1125</v>
      </c>
      <c r="D233">
        <v>0</v>
      </c>
      <c r="E233">
        <v>0</v>
      </c>
      <c r="F233">
        <v>8000</v>
      </c>
      <c r="G233">
        <v>8000</v>
      </c>
      <c r="H233">
        <v>8000</v>
      </c>
      <c r="I233">
        <v>8000</v>
      </c>
      <c r="J233">
        <v>0</v>
      </c>
      <c r="K233">
        <v>0</v>
      </c>
      <c r="L233">
        <v>8000</v>
      </c>
      <c r="M233">
        <v>8000</v>
      </c>
      <c r="N233">
        <v>0</v>
      </c>
    </row>
    <row r="234" spans="1:14" ht="12.75" x14ac:dyDescent="0.2">
      <c r="A234">
        <v>6952</v>
      </c>
      <c r="B234" s="342">
        <v>33569</v>
      </c>
      <c r="C234" t="s">
        <v>1126</v>
      </c>
      <c r="D234">
        <v>0</v>
      </c>
      <c r="E234">
        <v>9000</v>
      </c>
      <c r="F234">
        <v>9000</v>
      </c>
      <c r="G234">
        <v>9937.5</v>
      </c>
      <c r="H234">
        <v>9937.5</v>
      </c>
      <c r="I234">
        <v>9000</v>
      </c>
      <c r="J234">
        <v>0</v>
      </c>
      <c r="K234">
        <v>9000</v>
      </c>
      <c r="L234">
        <v>9937.5</v>
      </c>
      <c r="M234">
        <v>9937.5</v>
      </c>
      <c r="N234">
        <v>0</v>
      </c>
    </row>
    <row r="235" spans="1:14" ht="12.75" x14ac:dyDescent="0.2">
      <c r="A235">
        <v>6952</v>
      </c>
      <c r="B235" s="342">
        <v>33580</v>
      </c>
      <c r="C235" t="s">
        <v>353</v>
      </c>
      <c r="D235">
        <v>1993.7</v>
      </c>
      <c r="E235">
        <v>9744.7000000000007</v>
      </c>
      <c r="F235">
        <v>3500</v>
      </c>
      <c r="G235">
        <v>2891.59</v>
      </c>
      <c r="H235">
        <v>2891.59</v>
      </c>
      <c r="I235">
        <v>3500</v>
      </c>
      <c r="J235">
        <v>1993.7</v>
      </c>
      <c r="K235">
        <v>9744.7000000000007</v>
      </c>
      <c r="L235">
        <v>2891.59</v>
      </c>
      <c r="M235">
        <v>2891.59</v>
      </c>
      <c r="N235">
        <v>0</v>
      </c>
    </row>
    <row r="236" spans="1:14" ht="12.75" x14ac:dyDescent="0.2">
      <c r="A236">
        <v>6952</v>
      </c>
      <c r="B236" s="342">
        <v>33590</v>
      </c>
      <c r="C236" t="s">
        <v>354</v>
      </c>
      <c r="D236">
        <v>437.19</v>
      </c>
      <c r="E236">
        <v>1930.22</v>
      </c>
      <c r="F236">
        <v>2500</v>
      </c>
      <c r="G236">
        <v>828.25</v>
      </c>
      <c r="H236">
        <v>828.25</v>
      </c>
      <c r="I236">
        <v>2500</v>
      </c>
      <c r="J236">
        <v>437.19</v>
      </c>
      <c r="K236">
        <v>1930.22</v>
      </c>
      <c r="L236">
        <v>828.25</v>
      </c>
      <c r="M236">
        <v>828.25</v>
      </c>
      <c r="N236">
        <v>0</v>
      </c>
    </row>
    <row r="237" spans="1:14" ht="12.75" x14ac:dyDescent="0.2">
      <c r="A237">
        <v>6952</v>
      </c>
      <c r="B237" s="342">
        <v>33600</v>
      </c>
      <c r="C237" t="s">
        <v>355</v>
      </c>
      <c r="D237">
        <v>0</v>
      </c>
      <c r="E237">
        <v>750.3</v>
      </c>
      <c r="F237">
        <v>2500</v>
      </c>
      <c r="G237">
        <v>1636.09</v>
      </c>
      <c r="H237">
        <v>1636.09</v>
      </c>
      <c r="I237">
        <v>2500</v>
      </c>
      <c r="J237">
        <v>0</v>
      </c>
      <c r="K237">
        <v>750.3</v>
      </c>
      <c r="L237">
        <v>1636.09</v>
      </c>
      <c r="M237">
        <v>1636.09</v>
      </c>
      <c r="N237">
        <v>0</v>
      </c>
    </row>
    <row r="238" spans="1:14" ht="12.75" x14ac:dyDescent="0.2">
      <c r="A238">
        <v>6952</v>
      </c>
      <c r="B238" s="342">
        <v>33610</v>
      </c>
      <c r="C238" t="s">
        <v>356</v>
      </c>
      <c r="D238">
        <v>197.91</v>
      </c>
      <c r="E238">
        <v>960.57</v>
      </c>
      <c r="F238">
        <v>1500</v>
      </c>
      <c r="G238">
        <v>981.35</v>
      </c>
      <c r="H238">
        <v>981.35</v>
      </c>
      <c r="I238">
        <v>1500</v>
      </c>
      <c r="J238">
        <v>197.91</v>
      </c>
      <c r="K238">
        <v>960.57</v>
      </c>
      <c r="L238">
        <v>981.35</v>
      </c>
      <c r="M238">
        <v>981.35</v>
      </c>
      <c r="N238">
        <v>0</v>
      </c>
    </row>
    <row r="239" spans="1:14" ht="12.75" x14ac:dyDescent="0.2">
      <c r="A239">
        <v>6952</v>
      </c>
      <c r="B239" s="342">
        <v>34000</v>
      </c>
      <c r="C239" t="s">
        <v>357</v>
      </c>
      <c r="D239">
        <v>0</v>
      </c>
      <c r="E239">
        <v>0</v>
      </c>
      <c r="F239">
        <v>0</v>
      </c>
      <c r="G239">
        <v>0</v>
      </c>
      <c r="H239">
        <v>0</v>
      </c>
      <c r="I239">
        <v>0</v>
      </c>
      <c r="J239">
        <v>0</v>
      </c>
      <c r="K239">
        <v>0</v>
      </c>
      <c r="L239">
        <v>0</v>
      </c>
      <c r="M239">
        <v>0</v>
      </c>
      <c r="N239">
        <v>0</v>
      </c>
    </row>
    <row r="240" spans="1:14" ht="12.75" x14ac:dyDescent="0.2">
      <c r="A240">
        <v>6952</v>
      </c>
      <c r="B240" s="342">
        <v>34140</v>
      </c>
      <c r="C240" t="s">
        <v>358</v>
      </c>
      <c r="D240">
        <v>0</v>
      </c>
      <c r="E240">
        <v>0</v>
      </c>
      <c r="F240">
        <v>0</v>
      </c>
      <c r="G240">
        <v>0</v>
      </c>
      <c r="H240">
        <v>0</v>
      </c>
      <c r="I240">
        <v>0</v>
      </c>
      <c r="J240">
        <v>0</v>
      </c>
      <c r="K240">
        <v>0</v>
      </c>
      <c r="L240">
        <v>0</v>
      </c>
      <c r="M240">
        <v>0</v>
      </c>
      <c r="N240">
        <v>0</v>
      </c>
    </row>
    <row r="241" spans="1:14" ht="12.75" x14ac:dyDescent="0.2">
      <c r="A241">
        <v>6952</v>
      </c>
      <c r="B241">
        <v>34145</v>
      </c>
      <c r="C241" t="s">
        <v>359</v>
      </c>
      <c r="D241">
        <v>0</v>
      </c>
      <c r="E241">
        <v>0</v>
      </c>
      <c r="F241">
        <v>0</v>
      </c>
      <c r="G241">
        <v>0</v>
      </c>
      <c r="H241">
        <v>0</v>
      </c>
      <c r="I241">
        <v>0</v>
      </c>
      <c r="J241">
        <v>0</v>
      </c>
      <c r="K241">
        <v>0</v>
      </c>
      <c r="L241">
        <v>0</v>
      </c>
      <c r="M241">
        <v>0</v>
      </c>
      <c r="N241">
        <v>0</v>
      </c>
    </row>
    <row r="242" spans="1:14" ht="12.75" x14ac:dyDescent="0.2">
      <c r="A242">
        <v>6952</v>
      </c>
      <c r="B242">
        <v>34410</v>
      </c>
      <c r="C242" t="s">
        <v>360</v>
      </c>
      <c r="D242">
        <v>0</v>
      </c>
      <c r="E242">
        <v>0</v>
      </c>
      <c r="F242">
        <v>0</v>
      </c>
      <c r="G242">
        <v>0</v>
      </c>
      <c r="H242">
        <v>0</v>
      </c>
      <c r="I242">
        <v>0</v>
      </c>
      <c r="J242">
        <v>0</v>
      </c>
      <c r="K242">
        <v>0</v>
      </c>
      <c r="L242">
        <v>0</v>
      </c>
      <c r="M242">
        <v>0</v>
      </c>
      <c r="N242">
        <v>0</v>
      </c>
    </row>
    <row r="243" spans="1:14" ht="12.75" x14ac:dyDescent="0.2">
      <c r="A243">
        <v>6952</v>
      </c>
      <c r="B243">
        <v>34440</v>
      </c>
      <c r="C243" t="s">
        <v>361</v>
      </c>
      <c r="D243">
        <v>0</v>
      </c>
      <c r="E243">
        <v>0</v>
      </c>
      <c r="F243">
        <v>0</v>
      </c>
      <c r="G243">
        <v>0</v>
      </c>
      <c r="H243">
        <v>0</v>
      </c>
      <c r="I243">
        <v>0</v>
      </c>
      <c r="J243">
        <v>0</v>
      </c>
      <c r="K243">
        <v>0</v>
      </c>
      <c r="L243">
        <v>0</v>
      </c>
      <c r="M243">
        <v>0</v>
      </c>
      <c r="N243">
        <v>0</v>
      </c>
    </row>
    <row r="244" spans="1:14" ht="12.75" x14ac:dyDescent="0.2">
      <c r="A244">
        <v>6952</v>
      </c>
      <c r="B244">
        <v>34445</v>
      </c>
      <c r="C244" t="s">
        <v>362</v>
      </c>
      <c r="D244">
        <v>0</v>
      </c>
      <c r="E244">
        <v>0</v>
      </c>
      <c r="F244">
        <v>0</v>
      </c>
      <c r="G244">
        <v>0</v>
      </c>
      <c r="H244">
        <v>0</v>
      </c>
      <c r="I244">
        <v>0</v>
      </c>
      <c r="J244">
        <v>0</v>
      </c>
      <c r="K244">
        <v>0</v>
      </c>
      <c r="L244">
        <v>0</v>
      </c>
      <c r="M244">
        <v>0</v>
      </c>
      <c r="N244">
        <v>0</v>
      </c>
    </row>
    <row r="245" spans="1:14" ht="12.75" x14ac:dyDescent="0.2">
      <c r="A245">
        <v>6952</v>
      </c>
      <c r="B245">
        <v>34452</v>
      </c>
      <c r="C245" t="s">
        <v>363</v>
      </c>
      <c r="D245">
        <v>0</v>
      </c>
      <c r="E245">
        <v>0</v>
      </c>
      <c r="F245">
        <v>0</v>
      </c>
      <c r="G245">
        <v>0</v>
      </c>
      <c r="H245">
        <v>0</v>
      </c>
      <c r="I245">
        <v>0</v>
      </c>
      <c r="J245">
        <v>0</v>
      </c>
      <c r="K245">
        <v>0</v>
      </c>
      <c r="L245">
        <v>0</v>
      </c>
      <c r="M245">
        <v>0</v>
      </c>
      <c r="N245">
        <v>0</v>
      </c>
    </row>
    <row r="246" spans="1:14" ht="12.75" x14ac:dyDescent="0.2">
      <c r="A246">
        <v>6952</v>
      </c>
      <c r="B246" s="342">
        <v>34453</v>
      </c>
      <c r="C246" t="s">
        <v>364</v>
      </c>
      <c r="D246">
        <v>0</v>
      </c>
      <c r="E246">
        <v>0</v>
      </c>
      <c r="F246">
        <v>0</v>
      </c>
      <c r="G246">
        <v>0</v>
      </c>
      <c r="H246">
        <v>0</v>
      </c>
      <c r="I246">
        <v>0</v>
      </c>
      <c r="J246">
        <v>0</v>
      </c>
      <c r="K246">
        <v>0</v>
      </c>
      <c r="L246">
        <v>0</v>
      </c>
      <c r="M246">
        <v>0</v>
      </c>
      <c r="N246">
        <v>0</v>
      </c>
    </row>
    <row r="247" spans="1:14" ht="12.75" x14ac:dyDescent="0.2">
      <c r="A247">
        <v>6952</v>
      </c>
      <c r="B247" s="342">
        <v>34455</v>
      </c>
      <c r="C247" t="s">
        <v>365</v>
      </c>
      <c r="D247">
        <v>0</v>
      </c>
      <c r="E247">
        <v>0</v>
      </c>
      <c r="F247">
        <v>0</v>
      </c>
      <c r="G247">
        <v>0</v>
      </c>
      <c r="H247">
        <v>0</v>
      </c>
      <c r="I247">
        <v>0</v>
      </c>
      <c r="J247">
        <v>0</v>
      </c>
      <c r="K247">
        <v>0</v>
      </c>
      <c r="L247">
        <v>0</v>
      </c>
      <c r="M247">
        <v>0</v>
      </c>
      <c r="N247">
        <v>0</v>
      </c>
    </row>
    <row r="248" spans="1:14" ht="12.75" x14ac:dyDescent="0.2">
      <c r="A248">
        <v>6952</v>
      </c>
      <c r="B248" s="342">
        <v>34500</v>
      </c>
      <c r="C248" t="s">
        <v>366</v>
      </c>
      <c r="D248">
        <v>0</v>
      </c>
      <c r="E248">
        <v>0</v>
      </c>
      <c r="F248">
        <v>0</v>
      </c>
      <c r="G248">
        <v>0</v>
      </c>
      <c r="H248">
        <v>0</v>
      </c>
      <c r="I248">
        <v>0</v>
      </c>
      <c r="J248">
        <v>0</v>
      </c>
      <c r="K248">
        <v>0</v>
      </c>
      <c r="L248">
        <v>0</v>
      </c>
      <c r="M248">
        <v>0</v>
      </c>
      <c r="N248">
        <v>0</v>
      </c>
    </row>
    <row r="249" spans="1:14" ht="12.75" x14ac:dyDescent="0.2">
      <c r="A249">
        <v>6952</v>
      </c>
      <c r="B249" s="342">
        <v>34600</v>
      </c>
      <c r="C249" t="s">
        <v>367</v>
      </c>
      <c r="D249">
        <v>0</v>
      </c>
      <c r="E249">
        <v>0</v>
      </c>
      <c r="F249">
        <v>0</v>
      </c>
      <c r="G249">
        <v>0</v>
      </c>
      <c r="H249">
        <v>0</v>
      </c>
      <c r="I249">
        <v>0</v>
      </c>
      <c r="J249">
        <v>0</v>
      </c>
      <c r="K249">
        <v>0</v>
      </c>
      <c r="L249">
        <v>0</v>
      </c>
      <c r="M249">
        <v>0</v>
      </c>
      <c r="N249">
        <v>0</v>
      </c>
    </row>
    <row r="250" spans="1:14" ht="12.75" x14ac:dyDescent="0.2">
      <c r="A250">
        <v>6952</v>
      </c>
      <c r="B250" s="342">
        <v>34610</v>
      </c>
      <c r="C250" t="s">
        <v>368</v>
      </c>
      <c r="D250">
        <v>0</v>
      </c>
      <c r="E250">
        <v>0</v>
      </c>
      <c r="F250">
        <v>0</v>
      </c>
      <c r="G250">
        <v>0</v>
      </c>
      <c r="H250">
        <v>0</v>
      </c>
      <c r="I250">
        <v>0</v>
      </c>
      <c r="J250">
        <v>0</v>
      </c>
      <c r="K250">
        <v>0</v>
      </c>
      <c r="L250">
        <v>0</v>
      </c>
      <c r="M250">
        <v>0</v>
      </c>
      <c r="N250">
        <v>0</v>
      </c>
    </row>
    <row r="251" spans="1:14" ht="12.75" x14ac:dyDescent="0.2">
      <c r="A251">
        <v>6952</v>
      </c>
      <c r="B251" s="342">
        <v>34700</v>
      </c>
      <c r="C251" t="s">
        <v>369</v>
      </c>
      <c r="D251">
        <v>0</v>
      </c>
      <c r="E251">
        <v>0</v>
      </c>
      <c r="F251">
        <v>0</v>
      </c>
      <c r="G251">
        <v>4579.82</v>
      </c>
      <c r="H251">
        <v>4579.82</v>
      </c>
      <c r="I251">
        <v>0</v>
      </c>
      <c r="J251">
        <v>0</v>
      </c>
      <c r="K251">
        <v>0</v>
      </c>
      <c r="L251">
        <v>4579.82</v>
      </c>
      <c r="M251">
        <v>4579.82</v>
      </c>
      <c r="N251">
        <v>0</v>
      </c>
    </row>
    <row r="252" spans="1:14" ht="12.75" x14ac:dyDescent="0.2">
      <c r="A252">
        <v>6952</v>
      </c>
      <c r="B252" s="342">
        <v>34710</v>
      </c>
      <c r="C252" t="s">
        <v>370</v>
      </c>
      <c r="D252">
        <v>0</v>
      </c>
      <c r="E252">
        <v>0</v>
      </c>
      <c r="F252">
        <v>0</v>
      </c>
      <c r="G252">
        <v>0</v>
      </c>
      <c r="H252">
        <v>0</v>
      </c>
      <c r="I252">
        <v>0</v>
      </c>
      <c r="J252">
        <v>0</v>
      </c>
      <c r="K252">
        <v>0</v>
      </c>
      <c r="L252">
        <v>0</v>
      </c>
      <c r="M252">
        <v>0</v>
      </c>
      <c r="N252">
        <v>0</v>
      </c>
    </row>
    <row r="253" spans="1:14" ht="12.75" x14ac:dyDescent="0.2">
      <c r="A253">
        <v>6952</v>
      </c>
      <c r="B253" s="342">
        <v>34720</v>
      </c>
      <c r="C253" t="s">
        <v>313</v>
      </c>
      <c r="D253">
        <v>0</v>
      </c>
      <c r="E253">
        <v>0</v>
      </c>
      <c r="F253">
        <v>0</v>
      </c>
      <c r="G253">
        <v>0</v>
      </c>
      <c r="H253">
        <v>0</v>
      </c>
      <c r="I253">
        <v>0</v>
      </c>
      <c r="J253">
        <v>0</v>
      </c>
      <c r="K253">
        <v>0</v>
      </c>
      <c r="L253">
        <v>0</v>
      </c>
      <c r="M253">
        <v>0</v>
      </c>
      <c r="N253">
        <v>0</v>
      </c>
    </row>
    <row r="254" spans="1:14" ht="12.75" x14ac:dyDescent="0.2">
      <c r="A254">
        <v>6952</v>
      </c>
      <c r="B254" s="342">
        <v>34730</v>
      </c>
      <c r="C254" t="s">
        <v>359</v>
      </c>
      <c r="D254">
        <v>0</v>
      </c>
      <c r="E254">
        <v>0</v>
      </c>
      <c r="F254">
        <v>100</v>
      </c>
      <c r="G254">
        <v>52.16</v>
      </c>
      <c r="H254">
        <v>52.16</v>
      </c>
      <c r="I254">
        <v>100</v>
      </c>
      <c r="J254">
        <v>0</v>
      </c>
      <c r="K254">
        <v>0</v>
      </c>
      <c r="L254">
        <v>52.16</v>
      </c>
      <c r="M254">
        <v>52.16</v>
      </c>
      <c r="N254">
        <v>0</v>
      </c>
    </row>
    <row r="255" spans="1:14" ht="12.75" x14ac:dyDescent="0.2">
      <c r="A255">
        <v>6952</v>
      </c>
      <c r="B255" s="342">
        <v>34740</v>
      </c>
      <c r="C255" t="s">
        <v>619</v>
      </c>
      <c r="D255">
        <v>0</v>
      </c>
      <c r="E255">
        <v>213.69</v>
      </c>
      <c r="F255">
        <v>800</v>
      </c>
      <c r="G255">
        <v>429.03</v>
      </c>
      <c r="H255">
        <v>429.03</v>
      </c>
      <c r="I255">
        <v>800</v>
      </c>
      <c r="J255">
        <v>0</v>
      </c>
      <c r="K255">
        <v>213.69</v>
      </c>
      <c r="L255">
        <v>429.03</v>
      </c>
      <c r="M255">
        <v>429.03</v>
      </c>
      <c r="N255">
        <v>0</v>
      </c>
    </row>
    <row r="256" spans="1:14" ht="12.75" x14ac:dyDescent="0.2">
      <c r="A256">
        <v>6952</v>
      </c>
      <c r="B256" s="342">
        <v>34760</v>
      </c>
      <c r="C256" t="s">
        <v>371</v>
      </c>
      <c r="D256">
        <v>0</v>
      </c>
      <c r="E256">
        <v>47.25</v>
      </c>
      <c r="F256">
        <v>0</v>
      </c>
      <c r="G256">
        <v>0</v>
      </c>
      <c r="H256">
        <v>0</v>
      </c>
      <c r="I256">
        <v>0</v>
      </c>
      <c r="J256">
        <v>0</v>
      </c>
      <c r="K256">
        <v>47.25</v>
      </c>
      <c r="L256">
        <v>0</v>
      </c>
      <c r="M256">
        <v>0</v>
      </c>
      <c r="N256">
        <v>0</v>
      </c>
    </row>
    <row r="257" spans="1:14" ht="12.75" x14ac:dyDescent="0.2">
      <c r="A257">
        <v>6952</v>
      </c>
      <c r="B257" s="342">
        <v>34765</v>
      </c>
      <c r="C257" t="s">
        <v>68</v>
      </c>
      <c r="D257">
        <v>0</v>
      </c>
      <c r="E257">
        <v>0</v>
      </c>
      <c r="F257">
        <v>0</v>
      </c>
      <c r="G257">
        <v>0</v>
      </c>
      <c r="H257">
        <v>0</v>
      </c>
      <c r="I257">
        <v>0</v>
      </c>
      <c r="J257">
        <v>0</v>
      </c>
      <c r="K257">
        <v>0</v>
      </c>
      <c r="L257">
        <v>0</v>
      </c>
      <c r="M257">
        <v>0</v>
      </c>
      <c r="N257">
        <v>0</v>
      </c>
    </row>
    <row r="258" spans="1:14" ht="12.75" x14ac:dyDescent="0.2">
      <c r="A258">
        <v>6952</v>
      </c>
      <c r="B258" s="342">
        <v>34770</v>
      </c>
      <c r="C258" t="s">
        <v>372</v>
      </c>
      <c r="D258">
        <v>0</v>
      </c>
      <c r="E258">
        <v>1027.99</v>
      </c>
      <c r="F258">
        <v>800</v>
      </c>
      <c r="G258">
        <v>0</v>
      </c>
      <c r="H258">
        <v>0</v>
      </c>
      <c r="I258">
        <v>800</v>
      </c>
      <c r="J258">
        <v>0</v>
      </c>
      <c r="K258">
        <v>1027.99</v>
      </c>
      <c r="L258">
        <v>0</v>
      </c>
      <c r="M258">
        <v>0</v>
      </c>
      <c r="N258">
        <v>0</v>
      </c>
    </row>
    <row r="259" spans="1:14" ht="12.75" x14ac:dyDescent="0.2">
      <c r="A259">
        <v>6952</v>
      </c>
      <c r="B259" s="342">
        <v>34780</v>
      </c>
      <c r="C259" t="s">
        <v>373</v>
      </c>
      <c r="D259">
        <v>3799.07</v>
      </c>
      <c r="E259">
        <v>21393.43</v>
      </c>
      <c r="F259">
        <v>14000</v>
      </c>
      <c r="G259">
        <v>20531.46</v>
      </c>
      <c r="H259">
        <v>20531.46</v>
      </c>
      <c r="I259">
        <v>14000</v>
      </c>
      <c r="J259">
        <v>3799.07</v>
      </c>
      <c r="K259">
        <v>21393.43</v>
      </c>
      <c r="L259">
        <v>20531.46</v>
      </c>
      <c r="M259">
        <v>20531.46</v>
      </c>
      <c r="N259">
        <v>0</v>
      </c>
    </row>
    <row r="260" spans="1:14" ht="12.75" x14ac:dyDescent="0.2">
      <c r="A260">
        <v>6952</v>
      </c>
      <c r="B260" s="342">
        <v>34800</v>
      </c>
      <c r="C260" t="s">
        <v>329</v>
      </c>
      <c r="D260">
        <v>0</v>
      </c>
      <c r="E260">
        <v>-30</v>
      </c>
      <c r="F260">
        <v>0</v>
      </c>
      <c r="G260">
        <v>0</v>
      </c>
      <c r="H260">
        <v>0</v>
      </c>
      <c r="I260">
        <v>0</v>
      </c>
      <c r="J260">
        <v>0</v>
      </c>
      <c r="K260">
        <v>0</v>
      </c>
      <c r="L260">
        <v>0</v>
      </c>
      <c r="M260">
        <v>0</v>
      </c>
      <c r="N260">
        <v>0</v>
      </c>
    </row>
    <row r="261" spans="1:14" ht="12.75" x14ac:dyDescent="0.2">
      <c r="A261">
        <v>6952</v>
      </c>
      <c r="B261" s="342">
        <v>34810</v>
      </c>
      <c r="C261" t="s">
        <v>995</v>
      </c>
      <c r="D261">
        <v>0</v>
      </c>
      <c r="E261">
        <v>0</v>
      </c>
      <c r="F261">
        <v>0</v>
      </c>
      <c r="G261">
        <v>0</v>
      </c>
      <c r="H261">
        <v>0</v>
      </c>
      <c r="I261">
        <v>0</v>
      </c>
      <c r="J261">
        <v>0</v>
      </c>
      <c r="K261">
        <v>0</v>
      </c>
      <c r="L261">
        <v>0</v>
      </c>
      <c r="M261">
        <v>0</v>
      </c>
      <c r="N261">
        <v>0</v>
      </c>
    </row>
    <row r="262" spans="1:14" ht="12.75" x14ac:dyDescent="0.2">
      <c r="A262">
        <v>6952</v>
      </c>
      <c r="B262" s="342">
        <v>34820</v>
      </c>
      <c r="C262" t="s">
        <v>313</v>
      </c>
      <c r="D262">
        <v>0</v>
      </c>
      <c r="E262">
        <v>0</v>
      </c>
      <c r="F262">
        <v>0</v>
      </c>
      <c r="G262">
        <v>0</v>
      </c>
      <c r="H262">
        <v>0</v>
      </c>
      <c r="I262">
        <v>0</v>
      </c>
      <c r="J262">
        <v>0</v>
      </c>
      <c r="K262">
        <v>0</v>
      </c>
      <c r="L262">
        <v>0</v>
      </c>
      <c r="M262">
        <v>0</v>
      </c>
      <c r="N262">
        <v>0</v>
      </c>
    </row>
    <row r="263" spans="1:14" ht="12.75" x14ac:dyDescent="0.2">
      <c r="A263">
        <v>6952</v>
      </c>
      <c r="B263" s="342">
        <v>34830</v>
      </c>
      <c r="C263" t="s">
        <v>996</v>
      </c>
      <c r="D263">
        <v>0</v>
      </c>
      <c r="E263">
        <v>252.66</v>
      </c>
      <c r="F263">
        <v>150</v>
      </c>
      <c r="G263">
        <v>37.700000000000003</v>
      </c>
      <c r="H263">
        <v>37.700000000000003</v>
      </c>
      <c r="I263">
        <v>150</v>
      </c>
      <c r="J263">
        <v>0</v>
      </c>
      <c r="K263">
        <v>252.66</v>
      </c>
      <c r="L263">
        <v>37.700000000000003</v>
      </c>
      <c r="M263">
        <v>37.700000000000003</v>
      </c>
      <c r="N263">
        <v>0</v>
      </c>
    </row>
    <row r="264" spans="1:14" ht="12.75" x14ac:dyDescent="0.2">
      <c r="A264">
        <v>6952</v>
      </c>
      <c r="B264" s="342">
        <v>34840</v>
      </c>
      <c r="C264" t="s">
        <v>619</v>
      </c>
      <c r="D264">
        <v>46.59</v>
      </c>
      <c r="E264">
        <v>659.12</v>
      </c>
      <c r="F264">
        <v>1000</v>
      </c>
      <c r="G264">
        <v>876.48</v>
      </c>
      <c r="H264">
        <v>876.48</v>
      </c>
      <c r="I264">
        <v>1000</v>
      </c>
      <c r="J264">
        <v>46.59</v>
      </c>
      <c r="K264">
        <v>659.12</v>
      </c>
      <c r="L264">
        <v>876.48</v>
      </c>
      <c r="M264">
        <v>876.48</v>
      </c>
      <c r="N264">
        <v>0</v>
      </c>
    </row>
    <row r="265" spans="1:14" ht="12.75" x14ac:dyDescent="0.2">
      <c r="A265">
        <v>6952</v>
      </c>
      <c r="B265" s="342">
        <v>34860</v>
      </c>
      <c r="C265" t="s">
        <v>371</v>
      </c>
      <c r="D265">
        <v>0</v>
      </c>
      <c r="E265">
        <v>43.48</v>
      </c>
      <c r="F265">
        <v>120</v>
      </c>
      <c r="G265">
        <v>113.04</v>
      </c>
      <c r="H265">
        <v>113.04</v>
      </c>
      <c r="I265">
        <v>120</v>
      </c>
      <c r="J265">
        <v>0</v>
      </c>
      <c r="K265">
        <v>43.48</v>
      </c>
      <c r="L265">
        <v>113.04</v>
      </c>
      <c r="M265">
        <v>113.04</v>
      </c>
      <c r="N265">
        <v>0</v>
      </c>
    </row>
    <row r="266" spans="1:14" ht="12.75" x14ac:dyDescent="0.2">
      <c r="A266">
        <v>6952</v>
      </c>
      <c r="B266" s="342">
        <v>34870</v>
      </c>
      <c r="C266" t="s">
        <v>372</v>
      </c>
      <c r="D266">
        <v>0</v>
      </c>
      <c r="E266">
        <v>396.9</v>
      </c>
      <c r="F266">
        <v>800</v>
      </c>
      <c r="G266">
        <v>566.71</v>
      </c>
      <c r="H266">
        <v>566.71</v>
      </c>
      <c r="I266">
        <v>800</v>
      </c>
      <c r="J266">
        <v>0</v>
      </c>
      <c r="K266">
        <v>396.9</v>
      </c>
      <c r="L266">
        <v>566.71</v>
      </c>
      <c r="M266">
        <v>566.71</v>
      </c>
      <c r="N266">
        <v>0</v>
      </c>
    </row>
    <row r="267" spans="1:14" ht="12.75" x14ac:dyDescent="0.2">
      <c r="A267">
        <v>6952</v>
      </c>
      <c r="B267" s="342">
        <v>34880</v>
      </c>
      <c r="C267" t="s">
        <v>373</v>
      </c>
      <c r="D267">
        <v>2117.69</v>
      </c>
      <c r="E267">
        <v>10416.64</v>
      </c>
      <c r="F267">
        <v>10000</v>
      </c>
      <c r="G267">
        <v>5776.36</v>
      </c>
      <c r="H267">
        <v>5776.36</v>
      </c>
      <c r="I267">
        <v>10000</v>
      </c>
      <c r="J267">
        <v>2117.69</v>
      </c>
      <c r="K267">
        <v>10764.47</v>
      </c>
      <c r="L267">
        <v>5776.36</v>
      </c>
      <c r="M267">
        <v>5776.36</v>
      </c>
      <c r="N267">
        <v>0</v>
      </c>
    </row>
    <row r="268" spans="1:14" ht="12.75" x14ac:dyDescent="0.2">
      <c r="A268">
        <v>6952</v>
      </c>
      <c r="B268" s="342">
        <v>35000</v>
      </c>
      <c r="C268" t="s">
        <v>369</v>
      </c>
      <c r="D268">
        <v>1768.54</v>
      </c>
      <c r="E268">
        <v>10202.92</v>
      </c>
      <c r="F268">
        <v>15850</v>
      </c>
      <c r="G268">
        <v>9478.07</v>
      </c>
      <c r="H268">
        <v>9478.07</v>
      </c>
      <c r="I268">
        <v>15850</v>
      </c>
      <c r="J268">
        <v>1768.54</v>
      </c>
      <c r="K268">
        <v>10202.92</v>
      </c>
      <c r="L268">
        <v>9478.07</v>
      </c>
      <c r="M268">
        <v>9478.07</v>
      </c>
      <c r="N268">
        <v>0</v>
      </c>
    </row>
    <row r="269" spans="1:14" ht="12.75" x14ac:dyDescent="0.2">
      <c r="A269">
        <v>6952</v>
      </c>
      <c r="B269" s="342">
        <v>35010</v>
      </c>
      <c r="C269" t="s">
        <v>374</v>
      </c>
      <c r="D269">
        <v>0</v>
      </c>
      <c r="E269">
        <v>0</v>
      </c>
      <c r="F269">
        <v>0</v>
      </c>
      <c r="G269">
        <v>0</v>
      </c>
      <c r="H269">
        <v>0</v>
      </c>
      <c r="I269">
        <v>0</v>
      </c>
      <c r="J269">
        <v>0</v>
      </c>
      <c r="K269">
        <v>0</v>
      </c>
      <c r="L269">
        <v>0</v>
      </c>
      <c r="M269">
        <v>0</v>
      </c>
      <c r="N269">
        <v>0</v>
      </c>
    </row>
    <row r="270" spans="1:14" ht="12.75" x14ac:dyDescent="0.2">
      <c r="A270">
        <v>6952</v>
      </c>
      <c r="B270">
        <v>35015</v>
      </c>
      <c r="C270" t="s">
        <v>320</v>
      </c>
      <c r="D270">
        <v>0</v>
      </c>
      <c r="E270">
        <v>0</v>
      </c>
      <c r="F270">
        <v>0</v>
      </c>
      <c r="G270">
        <v>0</v>
      </c>
      <c r="H270">
        <v>0</v>
      </c>
      <c r="I270">
        <v>0</v>
      </c>
      <c r="J270">
        <v>0</v>
      </c>
      <c r="K270">
        <v>0</v>
      </c>
      <c r="L270">
        <v>0</v>
      </c>
      <c r="M270">
        <v>0</v>
      </c>
      <c r="N270">
        <v>0</v>
      </c>
    </row>
    <row r="271" spans="1:14" ht="12.75" x14ac:dyDescent="0.2">
      <c r="A271">
        <v>6952</v>
      </c>
      <c r="B271" s="342">
        <v>35020</v>
      </c>
      <c r="C271" t="s">
        <v>375</v>
      </c>
      <c r="D271">
        <v>0</v>
      </c>
      <c r="E271">
        <v>0</v>
      </c>
      <c r="F271">
        <v>0</v>
      </c>
      <c r="G271">
        <v>0</v>
      </c>
      <c r="H271">
        <v>0</v>
      </c>
      <c r="I271">
        <v>0</v>
      </c>
      <c r="J271">
        <v>0</v>
      </c>
      <c r="K271">
        <v>0</v>
      </c>
      <c r="L271">
        <v>0</v>
      </c>
      <c r="M271">
        <v>0</v>
      </c>
      <c r="N271">
        <v>0</v>
      </c>
    </row>
    <row r="272" spans="1:14" ht="12.75" x14ac:dyDescent="0.2">
      <c r="A272">
        <v>6952</v>
      </c>
      <c r="B272" s="342">
        <v>35030</v>
      </c>
      <c r="C272" t="s">
        <v>376</v>
      </c>
      <c r="D272">
        <v>0</v>
      </c>
      <c r="E272">
        <v>351.28</v>
      </c>
      <c r="F272">
        <v>1500</v>
      </c>
      <c r="G272">
        <v>0</v>
      </c>
      <c r="H272">
        <v>0</v>
      </c>
      <c r="I272">
        <v>1500</v>
      </c>
      <c r="J272">
        <v>0</v>
      </c>
      <c r="K272">
        <v>351.28</v>
      </c>
      <c r="L272">
        <v>0</v>
      </c>
      <c r="M272">
        <v>0</v>
      </c>
      <c r="N272">
        <v>0</v>
      </c>
    </row>
    <row r="273" spans="1:14" ht="12.75" x14ac:dyDescent="0.2">
      <c r="A273">
        <v>6952</v>
      </c>
      <c r="B273" s="342">
        <v>35040</v>
      </c>
      <c r="C273" t="s">
        <v>377</v>
      </c>
      <c r="D273">
        <v>99.82</v>
      </c>
      <c r="E273">
        <v>823.22</v>
      </c>
      <c r="F273">
        <v>1000</v>
      </c>
      <c r="G273">
        <v>1168.3399999999999</v>
      </c>
      <c r="H273">
        <v>1168.3399999999999</v>
      </c>
      <c r="I273">
        <v>1000</v>
      </c>
      <c r="J273">
        <v>99.82</v>
      </c>
      <c r="K273">
        <v>823.22</v>
      </c>
      <c r="L273">
        <v>1168.3399999999999</v>
      </c>
      <c r="M273">
        <v>1168.3399999999999</v>
      </c>
      <c r="N273">
        <v>0</v>
      </c>
    </row>
    <row r="274" spans="1:14" ht="12.75" x14ac:dyDescent="0.2">
      <c r="A274">
        <v>6952</v>
      </c>
      <c r="B274" s="342">
        <v>35050</v>
      </c>
      <c r="C274" t="s">
        <v>378</v>
      </c>
      <c r="D274">
        <v>448.11</v>
      </c>
      <c r="E274">
        <v>2437.0700000000002</v>
      </c>
      <c r="F274">
        <v>1700</v>
      </c>
      <c r="G274">
        <v>2146.5</v>
      </c>
      <c r="H274">
        <v>2146.5</v>
      </c>
      <c r="I274">
        <v>1700</v>
      </c>
      <c r="J274">
        <v>448.11</v>
      </c>
      <c r="K274">
        <v>2871.85</v>
      </c>
      <c r="L274">
        <v>2146.5</v>
      </c>
      <c r="M274">
        <v>2146.5</v>
      </c>
      <c r="N274">
        <v>0</v>
      </c>
    </row>
    <row r="275" spans="1:14" ht="12.75" x14ac:dyDescent="0.2">
      <c r="A275">
        <v>6952</v>
      </c>
      <c r="B275" s="342">
        <v>35060</v>
      </c>
      <c r="C275" t="s">
        <v>379</v>
      </c>
      <c r="D275">
        <v>0</v>
      </c>
      <c r="E275">
        <v>0</v>
      </c>
      <c r="F275">
        <v>0</v>
      </c>
      <c r="G275">
        <v>0</v>
      </c>
      <c r="H275">
        <v>0</v>
      </c>
      <c r="I275">
        <v>0</v>
      </c>
      <c r="J275">
        <v>0</v>
      </c>
      <c r="K275">
        <v>0</v>
      </c>
      <c r="L275">
        <v>0</v>
      </c>
      <c r="M275">
        <v>0</v>
      </c>
      <c r="N275">
        <v>0</v>
      </c>
    </row>
    <row r="276" spans="1:14" ht="12.75" x14ac:dyDescent="0.2">
      <c r="A276">
        <v>6952</v>
      </c>
      <c r="B276" s="342">
        <v>35070</v>
      </c>
      <c r="C276" t="s">
        <v>380</v>
      </c>
      <c r="D276">
        <v>0</v>
      </c>
      <c r="E276">
        <v>33.909999999999997</v>
      </c>
      <c r="F276">
        <v>500</v>
      </c>
      <c r="G276">
        <v>176.65</v>
      </c>
      <c r="H276">
        <v>176.65</v>
      </c>
      <c r="I276">
        <v>500</v>
      </c>
      <c r="J276">
        <v>0</v>
      </c>
      <c r="K276">
        <v>33.909999999999997</v>
      </c>
      <c r="L276">
        <v>176.65</v>
      </c>
      <c r="M276">
        <v>176.65</v>
      </c>
      <c r="N276">
        <v>0</v>
      </c>
    </row>
    <row r="277" spans="1:14" ht="12.75" x14ac:dyDescent="0.2">
      <c r="A277">
        <v>6952</v>
      </c>
      <c r="B277" s="342">
        <v>35080</v>
      </c>
      <c r="C277" t="s">
        <v>381</v>
      </c>
      <c r="D277">
        <v>1049.26</v>
      </c>
      <c r="E277">
        <v>16179.3</v>
      </c>
      <c r="F277">
        <v>10500</v>
      </c>
      <c r="G277">
        <v>11527.05</v>
      </c>
      <c r="H277">
        <v>11527.05</v>
      </c>
      <c r="I277">
        <v>10500</v>
      </c>
      <c r="J277">
        <v>1049.26</v>
      </c>
      <c r="K277">
        <v>16875.48</v>
      </c>
      <c r="L277">
        <v>11527.05</v>
      </c>
      <c r="M277">
        <v>11527.05</v>
      </c>
      <c r="N277">
        <v>0</v>
      </c>
    </row>
    <row r="278" spans="1:14" ht="12.75" x14ac:dyDescent="0.2">
      <c r="A278">
        <v>6952</v>
      </c>
      <c r="B278" s="342">
        <v>35085</v>
      </c>
      <c r="C278" t="s">
        <v>369</v>
      </c>
      <c r="D278">
        <v>0</v>
      </c>
      <c r="E278">
        <v>0</v>
      </c>
      <c r="F278">
        <v>0</v>
      </c>
      <c r="G278">
        <v>0</v>
      </c>
      <c r="H278">
        <v>0</v>
      </c>
      <c r="I278">
        <v>0</v>
      </c>
      <c r="J278">
        <v>0</v>
      </c>
      <c r="K278">
        <v>0</v>
      </c>
      <c r="L278">
        <v>0</v>
      </c>
      <c r="M278">
        <v>0</v>
      </c>
      <c r="N278">
        <v>0</v>
      </c>
    </row>
    <row r="279" spans="1:14" ht="12.75" x14ac:dyDescent="0.2">
      <c r="A279">
        <v>6952</v>
      </c>
      <c r="B279" s="342">
        <v>35086</v>
      </c>
      <c r="C279" t="s">
        <v>1037</v>
      </c>
      <c r="D279">
        <v>0</v>
      </c>
      <c r="E279">
        <v>0</v>
      </c>
      <c r="F279">
        <v>0</v>
      </c>
      <c r="G279">
        <v>0</v>
      </c>
      <c r="H279">
        <v>0</v>
      </c>
      <c r="I279">
        <v>0</v>
      </c>
      <c r="J279">
        <v>0</v>
      </c>
      <c r="K279">
        <v>0</v>
      </c>
      <c r="L279">
        <v>0</v>
      </c>
      <c r="M279">
        <v>0</v>
      </c>
      <c r="N279">
        <v>0</v>
      </c>
    </row>
    <row r="280" spans="1:14" ht="12.75" x14ac:dyDescent="0.2">
      <c r="A280">
        <v>6952</v>
      </c>
      <c r="B280" s="342">
        <v>35087</v>
      </c>
      <c r="C280" t="s">
        <v>1038</v>
      </c>
      <c r="D280">
        <v>0</v>
      </c>
      <c r="E280">
        <v>0</v>
      </c>
      <c r="F280">
        <v>0</v>
      </c>
      <c r="G280">
        <v>0</v>
      </c>
      <c r="H280">
        <v>0</v>
      </c>
      <c r="I280">
        <v>0</v>
      </c>
      <c r="J280">
        <v>0</v>
      </c>
      <c r="K280">
        <v>0</v>
      </c>
      <c r="L280">
        <v>0</v>
      </c>
      <c r="M280">
        <v>0</v>
      </c>
      <c r="N280">
        <v>0</v>
      </c>
    </row>
    <row r="281" spans="1:14" ht="12.75" x14ac:dyDescent="0.2">
      <c r="A281">
        <v>6952</v>
      </c>
      <c r="B281" s="342">
        <v>35088</v>
      </c>
      <c r="C281" t="s">
        <v>995</v>
      </c>
      <c r="D281">
        <v>0</v>
      </c>
      <c r="E281">
        <v>0</v>
      </c>
      <c r="F281">
        <v>0</v>
      </c>
      <c r="G281">
        <v>0</v>
      </c>
      <c r="H281">
        <v>0</v>
      </c>
      <c r="I281">
        <v>0</v>
      </c>
      <c r="J281">
        <v>0</v>
      </c>
      <c r="K281">
        <v>0</v>
      </c>
      <c r="L281">
        <v>0</v>
      </c>
      <c r="M281">
        <v>0</v>
      </c>
      <c r="N281">
        <v>0</v>
      </c>
    </row>
    <row r="282" spans="1:14" ht="12.75" x14ac:dyDescent="0.2">
      <c r="A282">
        <v>6952</v>
      </c>
      <c r="B282" s="342">
        <v>35089</v>
      </c>
      <c r="C282" t="s">
        <v>313</v>
      </c>
      <c r="D282">
        <v>0</v>
      </c>
      <c r="E282">
        <v>0</v>
      </c>
      <c r="F282">
        <v>0</v>
      </c>
      <c r="G282">
        <v>0</v>
      </c>
      <c r="H282">
        <v>0</v>
      </c>
      <c r="I282">
        <v>0</v>
      </c>
      <c r="J282">
        <v>0</v>
      </c>
      <c r="K282">
        <v>0</v>
      </c>
      <c r="L282">
        <v>0</v>
      </c>
      <c r="M282">
        <v>0</v>
      </c>
      <c r="N282">
        <v>0</v>
      </c>
    </row>
    <row r="283" spans="1:14" ht="12.75" x14ac:dyDescent="0.2">
      <c r="A283">
        <v>6952</v>
      </c>
      <c r="B283" s="342">
        <v>35090</v>
      </c>
      <c r="C283" t="s">
        <v>359</v>
      </c>
      <c r="D283">
        <v>0</v>
      </c>
      <c r="E283">
        <v>0</v>
      </c>
      <c r="F283">
        <v>0</v>
      </c>
      <c r="G283">
        <v>0</v>
      </c>
      <c r="H283">
        <v>0</v>
      </c>
      <c r="I283">
        <v>0</v>
      </c>
      <c r="J283">
        <v>0</v>
      </c>
      <c r="K283">
        <v>0</v>
      </c>
      <c r="L283">
        <v>0</v>
      </c>
      <c r="M283">
        <v>0</v>
      </c>
      <c r="N283">
        <v>0</v>
      </c>
    </row>
    <row r="284" spans="1:14" ht="12.75" x14ac:dyDescent="0.2">
      <c r="A284">
        <v>6952</v>
      </c>
      <c r="B284" s="342">
        <v>35091</v>
      </c>
      <c r="C284" t="s">
        <v>619</v>
      </c>
      <c r="D284">
        <v>0</v>
      </c>
      <c r="E284">
        <v>-0.08</v>
      </c>
      <c r="F284">
        <v>0</v>
      </c>
      <c r="G284">
        <v>0</v>
      </c>
      <c r="H284">
        <v>0</v>
      </c>
      <c r="I284">
        <v>0</v>
      </c>
      <c r="J284">
        <v>0</v>
      </c>
      <c r="K284">
        <v>25.92</v>
      </c>
      <c r="L284">
        <v>0</v>
      </c>
      <c r="M284">
        <v>0</v>
      </c>
      <c r="N284">
        <v>0</v>
      </c>
    </row>
    <row r="285" spans="1:14" ht="12.75" x14ac:dyDescent="0.2">
      <c r="A285">
        <v>6952</v>
      </c>
      <c r="B285" s="342">
        <v>35092</v>
      </c>
      <c r="C285" t="s">
        <v>371</v>
      </c>
      <c r="D285">
        <v>0</v>
      </c>
      <c r="E285">
        <v>0</v>
      </c>
      <c r="F285">
        <v>0</v>
      </c>
      <c r="G285">
        <v>0</v>
      </c>
      <c r="H285">
        <v>0</v>
      </c>
      <c r="I285">
        <v>0</v>
      </c>
      <c r="J285">
        <v>0</v>
      </c>
      <c r="K285">
        <v>0</v>
      </c>
      <c r="L285">
        <v>0</v>
      </c>
      <c r="M285">
        <v>0</v>
      </c>
      <c r="N285">
        <v>0</v>
      </c>
    </row>
    <row r="286" spans="1:14" ht="12.75" x14ac:dyDescent="0.2">
      <c r="A286">
        <v>6952</v>
      </c>
      <c r="B286" s="342">
        <v>35093</v>
      </c>
      <c r="C286" t="s">
        <v>1039</v>
      </c>
      <c r="D286">
        <v>0</v>
      </c>
      <c r="E286">
        <v>0</v>
      </c>
      <c r="F286">
        <v>0</v>
      </c>
      <c r="G286">
        <v>0</v>
      </c>
      <c r="H286">
        <v>0</v>
      </c>
      <c r="I286">
        <v>0</v>
      </c>
      <c r="J286">
        <v>0</v>
      </c>
      <c r="K286">
        <v>0</v>
      </c>
      <c r="L286">
        <v>0</v>
      </c>
      <c r="M286">
        <v>0</v>
      </c>
      <c r="N286">
        <v>0</v>
      </c>
    </row>
    <row r="287" spans="1:14" ht="12.75" x14ac:dyDescent="0.2">
      <c r="A287">
        <v>6952</v>
      </c>
      <c r="B287" s="342">
        <v>35094</v>
      </c>
      <c r="C287" t="s">
        <v>1040</v>
      </c>
      <c r="D287">
        <v>0</v>
      </c>
      <c r="E287">
        <v>0</v>
      </c>
      <c r="F287">
        <v>0</v>
      </c>
      <c r="G287">
        <v>0</v>
      </c>
      <c r="H287">
        <v>0</v>
      </c>
      <c r="I287">
        <v>0</v>
      </c>
      <c r="J287">
        <v>0</v>
      </c>
      <c r="K287">
        <v>0</v>
      </c>
      <c r="L287">
        <v>0</v>
      </c>
      <c r="M287">
        <v>0</v>
      </c>
      <c r="N287">
        <v>0</v>
      </c>
    </row>
    <row r="288" spans="1:14" ht="12.75" x14ac:dyDescent="0.2">
      <c r="A288">
        <v>6952</v>
      </c>
      <c r="B288" s="342">
        <v>35095</v>
      </c>
      <c r="C288" t="s">
        <v>1041</v>
      </c>
      <c r="D288">
        <v>0</v>
      </c>
      <c r="E288">
        <v>0</v>
      </c>
      <c r="F288">
        <v>0</v>
      </c>
      <c r="G288">
        <v>0</v>
      </c>
      <c r="H288">
        <v>0</v>
      </c>
      <c r="I288">
        <v>0</v>
      </c>
      <c r="J288">
        <v>0</v>
      </c>
      <c r="K288">
        <v>0</v>
      </c>
      <c r="L288">
        <v>0</v>
      </c>
      <c r="M288">
        <v>0</v>
      </c>
      <c r="N288">
        <v>0</v>
      </c>
    </row>
    <row r="289" spans="1:14" ht="12.75" x14ac:dyDescent="0.2">
      <c r="A289">
        <v>6952</v>
      </c>
      <c r="B289" s="342">
        <v>35096</v>
      </c>
      <c r="C289" t="s">
        <v>372</v>
      </c>
      <c r="D289">
        <v>0</v>
      </c>
      <c r="E289">
        <v>0</v>
      </c>
      <c r="F289">
        <v>0</v>
      </c>
      <c r="G289">
        <v>0</v>
      </c>
      <c r="H289">
        <v>0</v>
      </c>
      <c r="I289">
        <v>0</v>
      </c>
      <c r="J289">
        <v>0</v>
      </c>
      <c r="K289">
        <v>0</v>
      </c>
      <c r="L289">
        <v>0</v>
      </c>
      <c r="M289">
        <v>0</v>
      </c>
      <c r="N289">
        <v>0</v>
      </c>
    </row>
    <row r="290" spans="1:14" ht="12.75" x14ac:dyDescent="0.2">
      <c r="A290">
        <v>6952</v>
      </c>
      <c r="B290" s="342">
        <v>35097</v>
      </c>
      <c r="C290" t="s">
        <v>373</v>
      </c>
      <c r="D290">
        <v>0</v>
      </c>
      <c r="E290">
        <v>0</v>
      </c>
      <c r="F290">
        <v>0</v>
      </c>
      <c r="G290">
        <v>0</v>
      </c>
      <c r="H290">
        <v>0</v>
      </c>
      <c r="I290">
        <v>0</v>
      </c>
      <c r="J290">
        <v>0</v>
      </c>
      <c r="K290">
        <v>0</v>
      </c>
      <c r="L290">
        <v>0</v>
      </c>
      <c r="M290">
        <v>0</v>
      </c>
      <c r="N290">
        <v>0</v>
      </c>
    </row>
    <row r="291" spans="1:14" ht="12.75" x14ac:dyDescent="0.2">
      <c r="A291">
        <v>6952</v>
      </c>
      <c r="B291" s="342">
        <v>35100</v>
      </c>
      <c r="C291" t="s">
        <v>1259</v>
      </c>
      <c r="D291">
        <v>0</v>
      </c>
      <c r="E291">
        <v>65.44</v>
      </c>
      <c r="F291">
        <v>200</v>
      </c>
      <c r="G291">
        <v>80.150000000000006</v>
      </c>
      <c r="H291">
        <v>80.150000000000006</v>
      </c>
      <c r="I291">
        <v>200</v>
      </c>
      <c r="J291">
        <v>0</v>
      </c>
      <c r="K291">
        <v>65.44</v>
      </c>
      <c r="L291">
        <v>80.150000000000006</v>
      </c>
      <c r="M291">
        <v>80.150000000000006</v>
      </c>
      <c r="N291">
        <v>0</v>
      </c>
    </row>
    <row r="292" spans="1:14" ht="12.75" x14ac:dyDescent="0.2">
      <c r="A292">
        <v>6952</v>
      </c>
      <c r="B292" s="342">
        <v>35105</v>
      </c>
      <c r="C292" t="s">
        <v>1260</v>
      </c>
      <c r="D292">
        <v>0</v>
      </c>
      <c r="E292">
        <v>162.82</v>
      </c>
      <c r="F292">
        <v>450</v>
      </c>
      <c r="G292">
        <v>709.77</v>
      </c>
      <c r="H292">
        <v>709.77</v>
      </c>
      <c r="I292">
        <v>450</v>
      </c>
      <c r="J292">
        <v>0</v>
      </c>
      <c r="K292">
        <v>162.82</v>
      </c>
      <c r="L292">
        <v>709.77</v>
      </c>
      <c r="M292">
        <v>709.77</v>
      </c>
      <c r="N292">
        <v>0</v>
      </c>
    </row>
    <row r="293" spans="1:14" ht="12.75" x14ac:dyDescent="0.2">
      <c r="A293">
        <v>6952</v>
      </c>
      <c r="B293" s="342">
        <v>35110</v>
      </c>
      <c r="C293" t="s">
        <v>1261</v>
      </c>
      <c r="D293">
        <v>0</v>
      </c>
      <c r="E293">
        <v>0</v>
      </c>
      <c r="F293">
        <v>0</v>
      </c>
      <c r="G293">
        <v>0</v>
      </c>
      <c r="H293">
        <v>0</v>
      </c>
      <c r="I293">
        <v>0</v>
      </c>
      <c r="J293">
        <v>0</v>
      </c>
      <c r="K293">
        <v>0</v>
      </c>
      <c r="L293">
        <v>0</v>
      </c>
      <c r="M293">
        <v>0</v>
      </c>
      <c r="N293">
        <v>0</v>
      </c>
    </row>
    <row r="294" spans="1:14" ht="12.75" x14ac:dyDescent="0.2">
      <c r="A294">
        <v>6952</v>
      </c>
      <c r="B294" s="342">
        <v>35115</v>
      </c>
      <c r="C294" t="s">
        <v>1262</v>
      </c>
      <c r="D294">
        <v>0</v>
      </c>
      <c r="E294">
        <v>0</v>
      </c>
      <c r="F294">
        <v>0</v>
      </c>
      <c r="G294">
        <v>0</v>
      </c>
      <c r="H294">
        <v>0</v>
      </c>
      <c r="I294">
        <v>0</v>
      </c>
      <c r="J294">
        <v>0</v>
      </c>
      <c r="K294">
        <v>0</v>
      </c>
      <c r="L294">
        <v>0</v>
      </c>
      <c r="M294">
        <v>0</v>
      </c>
      <c r="N294">
        <v>0</v>
      </c>
    </row>
    <row r="295" spans="1:14" ht="12.75" x14ac:dyDescent="0.2">
      <c r="A295">
        <v>6952</v>
      </c>
      <c r="B295" s="342">
        <v>35120</v>
      </c>
      <c r="C295" t="s">
        <v>382</v>
      </c>
      <c r="D295">
        <v>0</v>
      </c>
      <c r="E295">
        <v>0</v>
      </c>
      <c r="F295">
        <v>0</v>
      </c>
      <c r="G295">
        <v>0</v>
      </c>
      <c r="H295">
        <v>0</v>
      </c>
      <c r="I295">
        <v>0</v>
      </c>
      <c r="J295">
        <v>0</v>
      </c>
      <c r="K295">
        <v>0</v>
      </c>
      <c r="L295">
        <v>0</v>
      </c>
      <c r="M295">
        <v>0</v>
      </c>
      <c r="N295">
        <v>0</v>
      </c>
    </row>
    <row r="296" spans="1:14" ht="12.75" x14ac:dyDescent="0.2">
      <c r="A296">
        <v>6952</v>
      </c>
      <c r="B296" s="342">
        <v>35125</v>
      </c>
      <c r="C296" t="s">
        <v>383</v>
      </c>
      <c r="D296">
        <v>0</v>
      </c>
      <c r="E296">
        <v>0</v>
      </c>
      <c r="F296">
        <v>0</v>
      </c>
      <c r="G296">
        <v>0</v>
      </c>
      <c r="H296">
        <v>0</v>
      </c>
      <c r="I296">
        <v>0</v>
      </c>
      <c r="J296">
        <v>0</v>
      </c>
      <c r="K296">
        <v>0</v>
      </c>
      <c r="L296">
        <v>0</v>
      </c>
      <c r="M296">
        <v>0</v>
      </c>
      <c r="N296">
        <v>0</v>
      </c>
    </row>
    <row r="297" spans="1:14" ht="12.75" x14ac:dyDescent="0.2">
      <c r="A297">
        <v>6952</v>
      </c>
      <c r="B297" s="342">
        <v>35130</v>
      </c>
      <c r="C297" t="s">
        <v>1263</v>
      </c>
      <c r="D297">
        <v>0</v>
      </c>
      <c r="E297">
        <v>757.28</v>
      </c>
      <c r="F297">
        <v>500</v>
      </c>
      <c r="G297">
        <v>678.26</v>
      </c>
      <c r="H297">
        <v>678.26</v>
      </c>
      <c r="I297">
        <v>500</v>
      </c>
      <c r="J297">
        <v>0</v>
      </c>
      <c r="K297">
        <v>757.28</v>
      </c>
      <c r="L297">
        <v>678.26</v>
      </c>
      <c r="M297">
        <v>678.26</v>
      </c>
      <c r="N297">
        <v>0</v>
      </c>
    </row>
    <row r="298" spans="1:14" ht="12.75" x14ac:dyDescent="0.2">
      <c r="A298">
        <v>6952</v>
      </c>
      <c r="B298" s="342">
        <v>35135</v>
      </c>
      <c r="C298" t="s">
        <v>1264</v>
      </c>
      <c r="D298">
        <v>422.64</v>
      </c>
      <c r="E298">
        <v>1820.3</v>
      </c>
      <c r="F298">
        <v>850</v>
      </c>
      <c r="G298">
        <v>1095.3599999999999</v>
      </c>
      <c r="H298">
        <v>1095.3599999999999</v>
      </c>
      <c r="I298">
        <v>850</v>
      </c>
      <c r="J298">
        <v>422.64</v>
      </c>
      <c r="K298">
        <v>1820.3</v>
      </c>
      <c r="L298">
        <v>1095.3599999999999</v>
      </c>
      <c r="M298">
        <v>1095.3599999999999</v>
      </c>
      <c r="N298">
        <v>0</v>
      </c>
    </row>
    <row r="299" spans="1:14" ht="12.75" x14ac:dyDescent="0.2">
      <c r="A299">
        <v>6952</v>
      </c>
      <c r="B299" s="342">
        <v>35140</v>
      </c>
      <c r="C299" t="s">
        <v>1265</v>
      </c>
      <c r="D299">
        <v>15.48</v>
      </c>
      <c r="E299">
        <v>2555.66</v>
      </c>
      <c r="F299">
        <v>2000</v>
      </c>
      <c r="G299">
        <v>1719.7</v>
      </c>
      <c r="H299">
        <v>1719.7</v>
      </c>
      <c r="I299">
        <v>2000</v>
      </c>
      <c r="J299">
        <v>15.48</v>
      </c>
      <c r="K299">
        <v>2555.66</v>
      </c>
      <c r="L299">
        <v>1719.7</v>
      </c>
      <c r="M299">
        <v>1719.7</v>
      </c>
      <c r="N299">
        <v>0</v>
      </c>
    </row>
    <row r="300" spans="1:14" ht="12.75" x14ac:dyDescent="0.2">
      <c r="A300">
        <v>6952</v>
      </c>
      <c r="B300" s="342">
        <v>35145</v>
      </c>
      <c r="C300" t="s">
        <v>1266</v>
      </c>
      <c r="D300">
        <v>549.88</v>
      </c>
      <c r="E300">
        <v>6265.59</v>
      </c>
      <c r="F300">
        <v>5000</v>
      </c>
      <c r="G300">
        <v>7897.7</v>
      </c>
      <c r="H300">
        <v>7897.7</v>
      </c>
      <c r="I300">
        <v>5000</v>
      </c>
      <c r="J300">
        <v>549.88</v>
      </c>
      <c r="K300">
        <v>6631.09</v>
      </c>
      <c r="L300">
        <v>7897.7</v>
      </c>
      <c r="M300">
        <v>7897.7</v>
      </c>
      <c r="N300">
        <v>0</v>
      </c>
    </row>
    <row r="301" spans="1:14" ht="12.75" x14ac:dyDescent="0.2">
      <c r="A301">
        <v>6952</v>
      </c>
      <c r="B301" s="342">
        <v>35150</v>
      </c>
      <c r="C301" t="s">
        <v>1267</v>
      </c>
      <c r="D301">
        <v>0</v>
      </c>
      <c r="E301">
        <v>43.46</v>
      </c>
      <c r="F301">
        <v>0</v>
      </c>
      <c r="G301">
        <v>0</v>
      </c>
      <c r="H301">
        <v>0</v>
      </c>
      <c r="I301">
        <v>0</v>
      </c>
      <c r="J301">
        <v>0</v>
      </c>
      <c r="K301">
        <v>43.46</v>
      </c>
      <c r="L301">
        <v>0</v>
      </c>
      <c r="M301">
        <v>0</v>
      </c>
      <c r="N301">
        <v>0</v>
      </c>
    </row>
    <row r="302" spans="1:14" ht="12.75" x14ac:dyDescent="0.2">
      <c r="A302">
        <v>6952</v>
      </c>
      <c r="B302" s="342">
        <v>35155</v>
      </c>
      <c r="C302" t="s">
        <v>1268</v>
      </c>
      <c r="D302">
        <v>0</v>
      </c>
      <c r="E302">
        <v>0</v>
      </c>
      <c r="F302">
        <v>0</v>
      </c>
      <c r="G302">
        <v>0</v>
      </c>
      <c r="H302">
        <v>0</v>
      </c>
      <c r="I302">
        <v>0</v>
      </c>
      <c r="J302">
        <v>0</v>
      </c>
      <c r="K302">
        <v>0</v>
      </c>
      <c r="L302">
        <v>0</v>
      </c>
      <c r="M302">
        <v>0</v>
      </c>
      <c r="N302">
        <v>0</v>
      </c>
    </row>
    <row r="303" spans="1:14" ht="12.75" x14ac:dyDescent="0.2">
      <c r="A303">
        <v>6952</v>
      </c>
      <c r="B303" s="342">
        <v>35157</v>
      </c>
      <c r="C303" t="s">
        <v>1269</v>
      </c>
      <c r="D303">
        <v>35.65</v>
      </c>
      <c r="E303">
        <v>150.38999999999999</v>
      </c>
      <c r="F303">
        <v>200</v>
      </c>
      <c r="G303">
        <v>167.17</v>
      </c>
      <c r="H303">
        <v>167.17</v>
      </c>
      <c r="I303">
        <v>200</v>
      </c>
      <c r="J303">
        <v>35.65</v>
      </c>
      <c r="K303">
        <v>150.38999999999999</v>
      </c>
      <c r="L303">
        <v>167.17</v>
      </c>
      <c r="M303">
        <v>167.17</v>
      </c>
      <c r="N303">
        <v>0</v>
      </c>
    </row>
    <row r="304" spans="1:14" ht="12.75" x14ac:dyDescent="0.2">
      <c r="A304">
        <v>6952</v>
      </c>
      <c r="B304" s="342">
        <v>35158</v>
      </c>
      <c r="C304" t="s">
        <v>1270</v>
      </c>
      <c r="D304">
        <v>0</v>
      </c>
      <c r="E304">
        <v>1100.33</v>
      </c>
      <c r="F304">
        <v>1500</v>
      </c>
      <c r="G304">
        <v>1155.1500000000001</v>
      </c>
      <c r="H304">
        <v>1155.1500000000001</v>
      </c>
      <c r="I304">
        <v>1500</v>
      </c>
      <c r="J304">
        <v>0</v>
      </c>
      <c r="K304">
        <v>1100.33</v>
      </c>
      <c r="L304">
        <v>1155.1500000000001</v>
      </c>
      <c r="M304">
        <v>1155.1500000000001</v>
      </c>
      <c r="N304">
        <v>0</v>
      </c>
    </row>
    <row r="305" spans="1:14" ht="12.75" x14ac:dyDescent="0.2">
      <c r="A305">
        <v>6952</v>
      </c>
      <c r="B305" s="342">
        <v>35160</v>
      </c>
      <c r="C305" t="s">
        <v>369</v>
      </c>
      <c r="D305">
        <v>0</v>
      </c>
      <c r="E305">
        <v>0</v>
      </c>
      <c r="F305">
        <v>0</v>
      </c>
      <c r="G305">
        <v>4579.16</v>
      </c>
      <c r="H305">
        <v>4579.16</v>
      </c>
      <c r="I305">
        <v>0</v>
      </c>
      <c r="J305">
        <v>0</v>
      </c>
      <c r="K305">
        <v>0</v>
      </c>
      <c r="L305">
        <v>4579.16</v>
      </c>
      <c r="M305">
        <v>4579.16</v>
      </c>
      <c r="N305">
        <v>0</v>
      </c>
    </row>
    <row r="306" spans="1:14" ht="12.75" x14ac:dyDescent="0.2">
      <c r="A306">
        <v>6952</v>
      </c>
      <c r="B306" s="342">
        <v>35161</v>
      </c>
      <c r="C306" t="s">
        <v>370</v>
      </c>
      <c r="D306">
        <v>0</v>
      </c>
      <c r="E306">
        <v>0</v>
      </c>
      <c r="F306">
        <v>0</v>
      </c>
      <c r="G306">
        <v>0</v>
      </c>
      <c r="H306">
        <v>0</v>
      </c>
      <c r="I306">
        <v>0</v>
      </c>
      <c r="J306">
        <v>0</v>
      </c>
      <c r="K306">
        <v>0</v>
      </c>
      <c r="L306">
        <v>0</v>
      </c>
      <c r="M306">
        <v>0</v>
      </c>
      <c r="N306">
        <v>0</v>
      </c>
    </row>
    <row r="307" spans="1:14" ht="12.75" x14ac:dyDescent="0.2">
      <c r="A307">
        <v>6952</v>
      </c>
      <c r="B307" s="342">
        <v>35162</v>
      </c>
      <c r="C307" t="s">
        <v>313</v>
      </c>
      <c r="D307">
        <v>0</v>
      </c>
      <c r="E307">
        <v>0</v>
      </c>
      <c r="F307">
        <v>0</v>
      </c>
      <c r="G307">
        <v>0</v>
      </c>
      <c r="H307">
        <v>0</v>
      </c>
      <c r="I307">
        <v>0</v>
      </c>
      <c r="J307">
        <v>0</v>
      </c>
      <c r="K307">
        <v>0</v>
      </c>
      <c r="L307">
        <v>0</v>
      </c>
      <c r="M307">
        <v>0</v>
      </c>
      <c r="N307">
        <v>0</v>
      </c>
    </row>
    <row r="308" spans="1:14" ht="12.75" x14ac:dyDescent="0.2">
      <c r="A308">
        <v>6952</v>
      </c>
      <c r="B308" s="342">
        <v>35163</v>
      </c>
      <c r="C308" t="s">
        <v>359</v>
      </c>
      <c r="D308">
        <v>0</v>
      </c>
      <c r="E308">
        <v>91.94</v>
      </c>
      <c r="F308">
        <v>200</v>
      </c>
      <c r="G308">
        <v>60.87</v>
      </c>
      <c r="H308">
        <v>60.87</v>
      </c>
      <c r="I308">
        <v>200</v>
      </c>
      <c r="J308">
        <v>0</v>
      </c>
      <c r="K308">
        <v>91.94</v>
      </c>
      <c r="L308">
        <v>60.87</v>
      </c>
      <c r="M308">
        <v>60.87</v>
      </c>
      <c r="N308">
        <v>0</v>
      </c>
    </row>
    <row r="309" spans="1:14" ht="12.75" x14ac:dyDescent="0.2">
      <c r="A309">
        <v>6952</v>
      </c>
      <c r="B309" s="342">
        <v>35164</v>
      </c>
      <c r="C309" t="s">
        <v>619</v>
      </c>
      <c r="D309">
        <v>247.47</v>
      </c>
      <c r="E309">
        <v>843.15</v>
      </c>
      <c r="F309">
        <v>1200</v>
      </c>
      <c r="G309">
        <v>1172.5899999999999</v>
      </c>
      <c r="H309">
        <v>1172.5899999999999</v>
      </c>
      <c r="I309">
        <v>1200</v>
      </c>
      <c r="J309">
        <v>247.47</v>
      </c>
      <c r="K309">
        <v>843.15</v>
      </c>
      <c r="L309">
        <v>1172.5899999999999</v>
      </c>
      <c r="M309">
        <v>1172.5899999999999</v>
      </c>
      <c r="N309">
        <v>0</v>
      </c>
    </row>
    <row r="310" spans="1:14" ht="12.75" x14ac:dyDescent="0.2">
      <c r="A310">
        <v>6952</v>
      </c>
      <c r="B310" s="342">
        <v>35166</v>
      </c>
      <c r="C310" t="s">
        <v>371</v>
      </c>
      <c r="D310">
        <v>0</v>
      </c>
      <c r="E310">
        <v>60.87</v>
      </c>
      <c r="F310">
        <v>0</v>
      </c>
      <c r="G310">
        <v>0</v>
      </c>
      <c r="H310">
        <v>0</v>
      </c>
      <c r="I310">
        <v>0</v>
      </c>
      <c r="J310">
        <v>0</v>
      </c>
      <c r="K310">
        <v>60.87</v>
      </c>
      <c r="L310">
        <v>0</v>
      </c>
      <c r="M310">
        <v>0</v>
      </c>
      <c r="N310">
        <v>0</v>
      </c>
    </row>
    <row r="311" spans="1:14" ht="12.75" x14ac:dyDescent="0.2">
      <c r="A311">
        <v>6952</v>
      </c>
      <c r="B311" s="342">
        <v>35167</v>
      </c>
      <c r="C311" t="s">
        <v>372</v>
      </c>
      <c r="D311">
        <v>0</v>
      </c>
      <c r="E311">
        <v>152.16999999999999</v>
      </c>
      <c r="F311">
        <v>800</v>
      </c>
      <c r="G311">
        <v>0</v>
      </c>
      <c r="H311">
        <v>0</v>
      </c>
      <c r="I311">
        <v>800</v>
      </c>
      <c r="J311">
        <v>0</v>
      </c>
      <c r="K311">
        <v>152.16999999999999</v>
      </c>
      <c r="L311">
        <v>0</v>
      </c>
      <c r="M311">
        <v>0</v>
      </c>
      <c r="N311">
        <v>0</v>
      </c>
    </row>
    <row r="312" spans="1:14" ht="12.75" x14ac:dyDescent="0.2">
      <c r="A312">
        <v>6952</v>
      </c>
      <c r="B312" s="342">
        <v>35168</v>
      </c>
      <c r="C312" t="s">
        <v>373</v>
      </c>
      <c r="D312">
        <v>920.12</v>
      </c>
      <c r="E312">
        <v>14970.6</v>
      </c>
      <c r="F312">
        <v>10000</v>
      </c>
      <c r="G312">
        <v>10965.36</v>
      </c>
      <c r="H312">
        <v>10965.36</v>
      </c>
      <c r="I312">
        <v>10000</v>
      </c>
      <c r="J312">
        <v>920.12</v>
      </c>
      <c r="K312">
        <v>15579.3</v>
      </c>
      <c r="L312">
        <v>10965.36</v>
      </c>
      <c r="M312">
        <v>10965.36</v>
      </c>
      <c r="N312">
        <v>0</v>
      </c>
    </row>
    <row r="313" spans="1:14" ht="12.75" x14ac:dyDescent="0.2">
      <c r="A313">
        <v>6952</v>
      </c>
      <c r="B313" s="342">
        <v>35170</v>
      </c>
      <c r="C313" t="s">
        <v>997</v>
      </c>
      <c r="D313">
        <v>0</v>
      </c>
      <c r="E313">
        <v>832.5</v>
      </c>
      <c r="F313">
        <v>7000</v>
      </c>
      <c r="G313">
        <v>1033</v>
      </c>
      <c r="H313">
        <v>1033</v>
      </c>
      <c r="I313">
        <v>7000</v>
      </c>
      <c r="J313">
        <v>0</v>
      </c>
      <c r="K313">
        <v>832.5</v>
      </c>
      <c r="L313">
        <v>1033</v>
      </c>
      <c r="M313">
        <v>1033</v>
      </c>
      <c r="N313">
        <v>0</v>
      </c>
    </row>
    <row r="314" spans="1:14" ht="12.75" x14ac:dyDescent="0.2">
      <c r="A314">
        <v>6952</v>
      </c>
      <c r="B314" s="342">
        <v>35171</v>
      </c>
      <c r="C314" t="s">
        <v>388</v>
      </c>
      <c r="D314">
        <v>5352.7</v>
      </c>
      <c r="E314">
        <v>29227.200000000001</v>
      </c>
      <c r="F314">
        <v>30907</v>
      </c>
      <c r="G314">
        <v>21519.3</v>
      </c>
      <c r="H314">
        <v>21519.3</v>
      </c>
      <c r="I314">
        <v>30907</v>
      </c>
      <c r="J314">
        <v>5352.7</v>
      </c>
      <c r="K314">
        <v>29227.200000000001</v>
      </c>
      <c r="L314">
        <v>21519.3</v>
      </c>
      <c r="M314">
        <v>21519.3</v>
      </c>
      <c r="N314">
        <v>0</v>
      </c>
    </row>
    <row r="315" spans="1:14" ht="12.75" x14ac:dyDescent="0.2">
      <c r="A315">
        <v>6952</v>
      </c>
      <c r="B315" s="342">
        <v>35172</v>
      </c>
      <c r="C315" t="s">
        <v>389</v>
      </c>
      <c r="D315">
        <v>0</v>
      </c>
      <c r="E315">
        <v>12831.57</v>
      </c>
      <c r="F315">
        <v>12000</v>
      </c>
      <c r="G315">
        <v>69.13</v>
      </c>
      <c r="H315">
        <v>69.13</v>
      </c>
      <c r="I315">
        <v>12000</v>
      </c>
      <c r="J315">
        <v>0</v>
      </c>
      <c r="K315">
        <v>12827.6</v>
      </c>
      <c r="L315">
        <v>69.13</v>
      </c>
      <c r="M315">
        <v>69.13</v>
      </c>
      <c r="N315">
        <v>0</v>
      </c>
    </row>
    <row r="316" spans="1:14" ht="12.75" x14ac:dyDescent="0.2">
      <c r="A316">
        <v>6952</v>
      </c>
      <c r="B316" s="342">
        <v>35173</v>
      </c>
      <c r="C316" t="s">
        <v>390</v>
      </c>
      <c r="D316">
        <v>0</v>
      </c>
      <c r="E316">
        <v>12842.9</v>
      </c>
      <c r="F316">
        <v>11000</v>
      </c>
      <c r="G316">
        <v>378.26</v>
      </c>
      <c r="H316">
        <v>378.26</v>
      </c>
      <c r="I316">
        <v>11000</v>
      </c>
      <c r="J316">
        <v>0</v>
      </c>
      <c r="K316">
        <v>13368.61</v>
      </c>
      <c r="L316">
        <v>378.26</v>
      </c>
      <c r="M316">
        <v>378.26</v>
      </c>
      <c r="N316">
        <v>0</v>
      </c>
    </row>
    <row r="317" spans="1:14" ht="12.75" x14ac:dyDescent="0.2">
      <c r="A317">
        <v>6952</v>
      </c>
      <c r="B317" s="342">
        <v>35174</v>
      </c>
      <c r="C317" t="s">
        <v>391</v>
      </c>
      <c r="D317">
        <v>0</v>
      </c>
      <c r="E317">
        <v>0</v>
      </c>
      <c r="F317">
        <v>0</v>
      </c>
      <c r="G317">
        <v>0</v>
      </c>
      <c r="H317">
        <v>0</v>
      </c>
      <c r="I317">
        <v>0</v>
      </c>
      <c r="J317">
        <v>0</v>
      </c>
      <c r="K317">
        <v>0</v>
      </c>
      <c r="L317">
        <v>0</v>
      </c>
      <c r="M317">
        <v>0</v>
      </c>
      <c r="N317">
        <v>0</v>
      </c>
    </row>
    <row r="318" spans="1:14" ht="12.75" x14ac:dyDescent="0.2">
      <c r="A318">
        <v>6952</v>
      </c>
      <c r="B318" s="342">
        <v>35175</v>
      </c>
      <c r="C318" t="s">
        <v>392</v>
      </c>
      <c r="D318">
        <v>0</v>
      </c>
      <c r="E318">
        <v>6785.16</v>
      </c>
      <c r="F318">
        <v>5500</v>
      </c>
      <c r="G318">
        <v>0</v>
      </c>
      <c r="H318">
        <v>0</v>
      </c>
      <c r="I318">
        <v>5500</v>
      </c>
      <c r="J318">
        <v>0</v>
      </c>
      <c r="K318">
        <v>6785.16</v>
      </c>
      <c r="L318">
        <v>0</v>
      </c>
      <c r="M318">
        <v>0</v>
      </c>
      <c r="N318">
        <v>0</v>
      </c>
    </row>
    <row r="319" spans="1:14" ht="12.75" x14ac:dyDescent="0.2">
      <c r="A319">
        <v>6952</v>
      </c>
      <c r="B319" s="342">
        <v>35176</v>
      </c>
      <c r="C319" t="s">
        <v>998</v>
      </c>
      <c r="D319">
        <v>0</v>
      </c>
      <c r="E319">
        <v>7787.83</v>
      </c>
      <c r="F319">
        <v>5500</v>
      </c>
      <c r="G319">
        <v>0</v>
      </c>
      <c r="H319">
        <v>0</v>
      </c>
      <c r="I319">
        <v>5500</v>
      </c>
      <c r="J319">
        <v>0</v>
      </c>
      <c r="K319">
        <v>7813.06</v>
      </c>
      <c r="L319">
        <v>0</v>
      </c>
      <c r="M319">
        <v>0</v>
      </c>
      <c r="N319">
        <v>0</v>
      </c>
    </row>
    <row r="320" spans="1:14" ht="12.75" x14ac:dyDescent="0.2">
      <c r="A320">
        <v>6952</v>
      </c>
      <c r="B320" s="342">
        <v>35177</v>
      </c>
      <c r="C320" t="s">
        <v>1666</v>
      </c>
      <c r="D320">
        <v>7.9</v>
      </c>
      <c r="E320">
        <v>16669.810000000001</v>
      </c>
      <c r="F320">
        <v>14000</v>
      </c>
      <c r="G320">
        <v>6450.22</v>
      </c>
      <c r="H320">
        <v>6450.22</v>
      </c>
      <c r="I320">
        <v>14000</v>
      </c>
      <c r="J320">
        <v>7.9</v>
      </c>
      <c r="K320">
        <v>16669.810000000001</v>
      </c>
      <c r="L320">
        <v>6450.22</v>
      </c>
      <c r="M320">
        <v>6450.22</v>
      </c>
      <c r="N320">
        <v>0</v>
      </c>
    </row>
    <row r="321" spans="1:14" ht="12.75" x14ac:dyDescent="0.2">
      <c r="A321">
        <v>6952</v>
      </c>
      <c r="B321" s="342">
        <v>35178</v>
      </c>
      <c r="C321" t="s">
        <v>956</v>
      </c>
      <c r="D321">
        <v>6714.57</v>
      </c>
      <c r="E321">
        <v>75094.789999999994</v>
      </c>
      <c r="F321">
        <v>75000</v>
      </c>
      <c r="G321">
        <v>78125.119999999995</v>
      </c>
      <c r="H321">
        <v>78125.119999999995</v>
      </c>
      <c r="I321">
        <v>75000</v>
      </c>
      <c r="J321">
        <v>6714.57</v>
      </c>
      <c r="K321">
        <v>75094.789999999994</v>
      </c>
      <c r="L321">
        <v>78125.119999999995</v>
      </c>
      <c r="M321">
        <v>78125.119999999995</v>
      </c>
      <c r="N321">
        <v>0</v>
      </c>
    </row>
    <row r="322" spans="1:14" ht="12.75" x14ac:dyDescent="0.2">
      <c r="A322">
        <v>6952</v>
      </c>
      <c r="B322" s="342">
        <v>35179</v>
      </c>
      <c r="C322" t="s">
        <v>1667</v>
      </c>
      <c r="D322">
        <v>3830.61</v>
      </c>
      <c r="E322">
        <v>38364.620000000003</v>
      </c>
      <c r="F322">
        <v>38000</v>
      </c>
      <c r="G322">
        <v>39024.720000000001</v>
      </c>
      <c r="H322">
        <v>39024.720000000001</v>
      </c>
      <c r="I322">
        <v>38000</v>
      </c>
      <c r="J322">
        <v>3830.61</v>
      </c>
      <c r="K322">
        <v>38518.97</v>
      </c>
      <c r="L322">
        <v>39024.720000000001</v>
      </c>
      <c r="M322">
        <v>39024.720000000001</v>
      </c>
      <c r="N322">
        <v>0</v>
      </c>
    </row>
    <row r="323" spans="1:14" ht="12.75" x14ac:dyDescent="0.2">
      <c r="A323">
        <v>6952</v>
      </c>
      <c r="B323" s="342">
        <v>35180</v>
      </c>
      <c r="C323" t="s">
        <v>320</v>
      </c>
      <c r="D323">
        <v>18.13</v>
      </c>
      <c r="E323">
        <v>18.13</v>
      </c>
      <c r="F323">
        <v>0</v>
      </c>
      <c r="G323">
        <v>11.16</v>
      </c>
      <c r="H323">
        <v>11.16</v>
      </c>
      <c r="I323">
        <v>0</v>
      </c>
      <c r="J323">
        <v>18.13</v>
      </c>
      <c r="K323">
        <v>18.13</v>
      </c>
      <c r="L323">
        <v>11.16</v>
      </c>
      <c r="M323">
        <v>11.16</v>
      </c>
      <c r="N323">
        <v>0</v>
      </c>
    </row>
    <row r="324" spans="1:14" ht="12.75" x14ac:dyDescent="0.2">
      <c r="A324">
        <v>6952</v>
      </c>
      <c r="B324" s="342">
        <v>35181</v>
      </c>
      <c r="C324" t="s">
        <v>394</v>
      </c>
      <c r="D324">
        <v>0</v>
      </c>
      <c r="E324">
        <v>0</v>
      </c>
      <c r="F324">
        <v>0</v>
      </c>
      <c r="G324">
        <v>0</v>
      </c>
      <c r="H324">
        <v>0</v>
      </c>
      <c r="I324">
        <v>0</v>
      </c>
      <c r="J324">
        <v>0</v>
      </c>
      <c r="K324">
        <v>0</v>
      </c>
      <c r="L324">
        <v>0</v>
      </c>
      <c r="M324">
        <v>0</v>
      </c>
      <c r="N324">
        <v>0</v>
      </c>
    </row>
    <row r="325" spans="1:14" ht="12.75" x14ac:dyDescent="0.2">
      <c r="A325">
        <v>6952</v>
      </c>
      <c r="B325" s="342">
        <v>35182</v>
      </c>
      <c r="C325" t="s">
        <v>313</v>
      </c>
      <c r="D325">
        <v>103.8</v>
      </c>
      <c r="E325">
        <v>197</v>
      </c>
      <c r="F325">
        <v>0</v>
      </c>
      <c r="G325">
        <v>0</v>
      </c>
      <c r="H325">
        <v>0</v>
      </c>
      <c r="I325">
        <v>0</v>
      </c>
      <c r="J325">
        <v>103.8</v>
      </c>
      <c r="K325">
        <v>197</v>
      </c>
      <c r="L325">
        <v>0</v>
      </c>
      <c r="M325">
        <v>0</v>
      </c>
      <c r="N325">
        <v>0</v>
      </c>
    </row>
    <row r="326" spans="1:14" ht="12.75" x14ac:dyDescent="0.2">
      <c r="A326">
        <v>6952</v>
      </c>
      <c r="B326" s="342">
        <v>35183</v>
      </c>
      <c r="C326" t="s">
        <v>395</v>
      </c>
      <c r="D326">
        <v>0</v>
      </c>
      <c r="E326">
        <v>0</v>
      </c>
      <c r="F326">
        <v>0</v>
      </c>
      <c r="G326">
        <v>0</v>
      </c>
      <c r="H326">
        <v>0</v>
      </c>
      <c r="I326">
        <v>0</v>
      </c>
      <c r="J326">
        <v>0</v>
      </c>
      <c r="K326">
        <v>0</v>
      </c>
      <c r="L326">
        <v>0</v>
      </c>
      <c r="M326">
        <v>0</v>
      </c>
      <c r="N326">
        <v>0</v>
      </c>
    </row>
    <row r="327" spans="1:14" ht="12.75" x14ac:dyDescent="0.2">
      <c r="A327">
        <v>6952</v>
      </c>
      <c r="B327" s="342">
        <v>35184</v>
      </c>
      <c r="C327" t="s">
        <v>619</v>
      </c>
      <c r="D327">
        <v>43.48</v>
      </c>
      <c r="E327">
        <v>477.07</v>
      </c>
      <c r="F327">
        <v>800</v>
      </c>
      <c r="G327">
        <v>714.68</v>
      </c>
      <c r="H327">
        <v>714.68</v>
      </c>
      <c r="I327">
        <v>800</v>
      </c>
      <c r="J327">
        <v>43.48</v>
      </c>
      <c r="K327">
        <v>477.07</v>
      </c>
      <c r="L327">
        <v>714.68</v>
      </c>
      <c r="M327">
        <v>714.68</v>
      </c>
      <c r="N327">
        <v>0</v>
      </c>
    </row>
    <row r="328" spans="1:14" ht="12.75" x14ac:dyDescent="0.2">
      <c r="A328">
        <v>6952</v>
      </c>
      <c r="B328" s="342">
        <v>35185</v>
      </c>
      <c r="C328" t="s">
        <v>371</v>
      </c>
      <c r="D328">
        <v>0</v>
      </c>
      <c r="E328">
        <v>0</v>
      </c>
      <c r="F328">
        <v>0</v>
      </c>
      <c r="G328">
        <v>0</v>
      </c>
      <c r="H328">
        <v>0</v>
      </c>
      <c r="I328">
        <v>0</v>
      </c>
      <c r="J328">
        <v>0</v>
      </c>
      <c r="K328">
        <v>0</v>
      </c>
      <c r="L328">
        <v>0</v>
      </c>
      <c r="M328">
        <v>0</v>
      </c>
      <c r="N328">
        <v>0</v>
      </c>
    </row>
    <row r="329" spans="1:14" ht="12.75" x14ac:dyDescent="0.2">
      <c r="A329">
        <v>6952</v>
      </c>
      <c r="B329" s="342">
        <v>35186</v>
      </c>
      <c r="C329" t="s">
        <v>396</v>
      </c>
      <c r="D329">
        <v>0</v>
      </c>
      <c r="E329">
        <v>0</v>
      </c>
      <c r="F329">
        <v>0</v>
      </c>
      <c r="G329">
        <v>0</v>
      </c>
      <c r="H329">
        <v>0</v>
      </c>
      <c r="I329">
        <v>0</v>
      </c>
      <c r="J329">
        <v>0</v>
      </c>
      <c r="K329">
        <v>0</v>
      </c>
      <c r="L329">
        <v>0</v>
      </c>
      <c r="M329">
        <v>0</v>
      </c>
      <c r="N329">
        <v>0</v>
      </c>
    </row>
    <row r="330" spans="1:14" ht="12.75" x14ac:dyDescent="0.2">
      <c r="A330">
        <v>6952</v>
      </c>
      <c r="B330" s="342">
        <v>35187</v>
      </c>
      <c r="C330" t="s">
        <v>397</v>
      </c>
      <c r="D330">
        <v>0</v>
      </c>
      <c r="E330">
        <v>400</v>
      </c>
      <c r="F330">
        <v>1500</v>
      </c>
      <c r="G330">
        <v>0</v>
      </c>
      <c r="H330">
        <v>0</v>
      </c>
      <c r="I330">
        <v>1500</v>
      </c>
      <c r="J330">
        <v>0</v>
      </c>
      <c r="K330">
        <v>400</v>
      </c>
      <c r="L330">
        <v>0</v>
      </c>
      <c r="M330">
        <v>0</v>
      </c>
      <c r="N330">
        <v>0</v>
      </c>
    </row>
    <row r="331" spans="1:14" ht="12.75" x14ac:dyDescent="0.2">
      <c r="A331">
        <v>6952</v>
      </c>
      <c r="B331" s="342">
        <v>35188</v>
      </c>
      <c r="C331" t="s">
        <v>398</v>
      </c>
      <c r="D331">
        <v>2279.14</v>
      </c>
      <c r="E331">
        <v>9868.6200000000008</v>
      </c>
      <c r="F331">
        <v>10000</v>
      </c>
      <c r="G331">
        <v>6321.36</v>
      </c>
      <c r="H331">
        <v>6321.36</v>
      </c>
      <c r="I331">
        <v>10000</v>
      </c>
      <c r="J331">
        <v>2279.14</v>
      </c>
      <c r="K331">
        <v>9868.6200000000008</v>
      </c>
      <c r="L331">
        <v>6321.36</v>
      </c>
      <c r="M331">
        <v>6321.36</v>
      </c>
      <c r="N331">
        <v>0</v>
      </c>
    </row>
    <row r="332" spans="1:14" ht="12.75" x14ac:dyDescent="0.2">
      <c r="A332">
        <v>6952</v>
      </c>
      <c r="B332" s="342">
        <v>35189</v>
      </c>
      <c r="C332" t="s">
        <v>399</v>
      </c>
      <c r="D332">
        <v>0</v>
      </c>
      <c r="E332">
        <v>0</v>
      </c>
      <c r="F332">
        <v>0</v>
      </c>
      <c r="G332">
        <v>0</v>
      </c>
      <c r="H332">
        <v>0</v>
      </c>
      <c r="I332">
        <v>0</v>
      </c>
      <c r="J332">
        <v>0</v>
      </c>
      <c r="K332">
        <v>0</v>
      </c>
      <c r="L332">
        <v>0</v>
      </c>
      <c r="M332">
        <v>0</v>
      </c>
      <c r="N332">
        <v>0</v>
      </c>
    </row>
    <row r="333" spans="1:14" ht="12.75" x14ac:dyDescent="0.2">
      <c r="A333">
        <v>6952</v>
      </c>
      <c r="B333" s="342">
        <v>35190</v>
      </c>
      <c r="C333" t="s">
        <v>400</v>
      </c>
      <c r="D333">
        <v>0</v>
      </c>
      <c r="E333">
        <v>0</v>
      </c>
      <c r="F333">
        <v>0</v>
      </c>
      <c r="G333">
        <v>0</v>
      </c>
      <c r="H333">
        <v>0</v>
      </c>
      <c r="I333">
        <v>0</v>
      </c>
      <c r="J333">
        <v>0</v>
      </c>
      <c r="K333">
        <v>0</v>
      </c>
      <c r="L333">
        <v>0</v>
      </c>
      <c r="M333">
        <v>0</v>
      </c>
      <c r="N333">
        <v>0</v>
      </c>
    </row>
    <row r="334" spans="1:14" ht="12.75" x14ac:dyDescent="0.2">
      <c r="A334">
        <v>6952</v>
      </c>
      <c r="B334" s="342">
        <v>35191</v>
      </c>
      <c r="C334" t="s">
        <v>999</v>
      </c>
      <c r="D334">
        <v>0</v>
      </c>
      <c r="E334">
        <v>0</v>
      </c>
      <c r="F334">
        <v>0</v>
      </c>
      <c r="G334">
        <v>0</v>
      </c>
      <c r="H334">
        <v>0</v>
      </c>
      <c r="I334">
        <v>0</v>
      </c>
      <c r="J334">
        <v>0</v>
      </c>
      <c r="K334">
        <v>0</v>
      </c>
      <c r="L334">
        <v>0</v>
      </c>
      <c r="M334">
        <v>0</v>
      </c>
      <c r="N334">
        <v>0</v>
      </c>
    </row>
    <row r="335" spans="1:14" ht="12.75" x14ac:dyDescent="0.2">
      <c r="A335">
        <v>6952</v>
      </c>
      <c r="B335" s="342">
        <v>35192</v>
      </c>
      <c r="C335" t="s">
        <v>401</v>
      </c>
      <c r="D335">
        <v>0</v>
      </c>
      <c r="E335">
        <v>0</v>
      </c>
      <c r="F335">
        <v>0</v>
      </c>
      <c r="G335">
        <v>0</v>
      </c>
      <c r="H335">
        <v>0</v>
      </c>
      <c r="I335">
        <v>0</v>
      </c>
      <c r="J335">
        <v>0</v>
      </c>
      <c r="K335">
        <v>0</v>
      </c>
      <c r="L335">
        <v>0</v>
      </c>
      <c r="M335">
        <v>0</v>
      </c>
      <c r="N335">
        <v>0</v>
      </c>
    </row>
    <row r="336" spans="1:14" ht="12.75" x14ac:dyDescent="0.2">
      <c r="A336">
        <v>6952</v>
      </c>
      <c r="B336" s="342">
        <v>35193</v>
      </c>
      <c r="C336" t="s">
        <v>1000</v>
      </c>
      <c r="D336">
        <v>127.66</v>
      </c>
      <c r="E336">
        <v>685.04</v>
      </c>
      <c r="F336">
        <v>550</v>
      </c>
      <c r="G336">
        <v>665.38</v>
      </c>
      <c r="H336">
        <v>665.38</v>
      </c>
      <c r="I336">
        <v>550</v>
      </c>
      <c r="J336">
        <v>127.66</v>
      </c>
      <c r="K336">
        <v>685.04</v>
      </c>
      <c r="L336">
        <v>665.38</v>
      </c>
      <c r="M336">
        <v>665.38</v>
      </c>
      <c r="N336">
        <v>0</v>
      </c>
    </row>
    <row r="337" spans="1:14" ht="12.75" x14ac:dyDescent="0.2">
      <c r="A337">
        <v>6952</v>
      </c>
      <c r="B337" s="342">
        <v>35194</v>
      </c>
      <c r="C337" t="s">
        <v>1001</v>
      </c>
      <c r="D337">
        <v>0</v>
      </c>
      <c r="E337">
        <v>0</v>
      </c>
      <c r="F337">
        <v>0</v>
      </c>
      <c r="G337">
        <v>0</v>
      </c>
      <c r="H337">
        <v>0</v>
      </c>
      <c r="I337">
        <v>0</v>
      </c>
      <c r="J337">
        <v>0</v>
      </c>
      <c r="K337">
        <v>0</v>
      </c>
      <c r="L337">
        <v>0</v>
      </c>
      <c r="M337">
        <v>0</v>
      </c>
      <c r="N337">
        <v>0</v>
      </c>
    </row>
    <row r="338" spans="1:14" ht="12.75" x14ac:dyDescent="0.2">
      <c r="A338">
        <v>6952</v>
      </c>
      <c r="B338" s="342">
        <v>35195</v>
      </c>
      <c r="C338" t="s">
        <v>402</v>
      </c>
      <c r="D338">
        <v>3246.24</v>
      </c>
      <c r="E338">
        <v>19477.88</v>
      </c>
      <c r="F338">
        <v>0</v>
      </c>
      <c r="G338">
        <v>0</v>
      </c>
      <c r="H338">
        <v>0</v>
      </c>
      <c r="I338">
        <v>0</v>
      </c>
      <c r="J338">
        <v>3246.24</v>
      </c>
      <c r="K338">
        <v>38954.879999999997</v>
      </c>
      <c r="L338">
        <v>0</v>
      </c>
      <c r="M338">
        <v>0</v>
      </c>
      <c r="N338">
        <v>0</v>
      </c>
    </row>
    <row r="339" spans="1:14" ht="12.75" x14ac:dyDescent="0.2">
      <c r="A339">
        <v>6952</v>
      </c>
      <c r="B339" s="342">
        <v>35196</v>
      </c>
      <c r="C339" t="s">
        <v>403</v>
      </c>
      <c r="D339">
        <v>10256.790000000001</v>
      </c>
      <c r="E339">
        <v>22468.6</v>
      </c>
      <c r="F339">
        <v>27500</v>
      </c>
      <c r="G339">
        <v>84486.14</v>
      </c>
      <c r="H339">
        <v>84486.14</v>
      </c>
      <c r="I339">
        <v>27500</v>
      </c>
      <c r="J339">
        <v>10256.790000000001</v>
      </c>
      <c r="K339">
        <v>42094.69</v>
      </c>
      <c r="L339">
        <v>84486.14</v>
      </c>
      <c r="M339">
        <v>84486.14</v>
      </c>
      <c r="N339">
        <v>0</v>
      </c>
    </row>
    <row r="340" spans="1:14" ht="12.75" x14ac:dyDescent="0.2">
      <c r="A340">
        <v>6952</v>
      </c>
      <c r="B340" s="342">
        <v>35197</v>
      </c>
      <c r="C340" t="s">
        <v>686</v>
      </c>
      <c r="D340">
        <v>0</v>
      </c>
      <c r="E340">
        <v>0</v>
      </c>
      <c r="F340">
        <v>0</v>
      </c>
      <c r="G340">
        <v>6690</v>
      </c>
      <c r="H340">
        <v>6690</v>
      </c>
      <c r="I340">
        <v>0</v>
      </c>
      <c r="J340">
        <v>0</v>
      </c>
      <c r="K340">
        <v>0</v>
      </c>
      <c r="L340">
        <v>6690</v>
      </c>
      <c r="M340">
        <v>6690</v>
      </c>
      <c r="N340">
        <v>0</v>
      </c>
    </row>
    <row r="341" spans="1:14" ht="12.75" x14ac:dyDescent="0.2">
      <c r="A341">
        <v>6952</v>
      </c>
      <c r="B341" s="342">
        <v>35198</v>
      </c>
      <c r="C341" t="s">
        <v>404</v>
      </c>
      <c r="D341">
        <v>0</v>
      </c>
      <c r="E341">
        <v>0</v>
      </c>
      <c r="F341">
        <v>0</v>
      </c>
      <c r="G341">
        <v>0</v>
      </c>
      <c r="H341">
        <v>0</v>
      </c>
      <c r="I341">
        <v>0</v>
      </c>
      <c r="J341">
        <v>0</v>
      </c>
      <c r="K341">
        <v>0</v>
      </c>
      <c r="L341">
        <v>0</v>
      </c>
      <c r="M341">
        <v>0</v>
      </c>
      <c r="N341">
        <v>0</v>
      </c>
    </row>
    <row r="342" spans="1:14" ht="12.75" x14ac:dyDescent="0.2">
      <c r="A342">
        <v>6952</v>
      </c>
      <c r="B342" s="342">
        <v>35199</v>
      </c>
      <c r="C342" t="s">
        <v>405</v>
      </c>
      <c r="D342">
        <v>0</v>
      </c>
      <c r="E342">
        <v>0</v>
      </c>
      <c r="F342">
        <v>0</v>
      </c>
      <c r="G342">
        <v>0</v>
      </c>
      <c r="H342">
        <v>0</v>
      </c>
      <c r="I342">
        <v>0</v>
      </c>
      <c r="J342">
        <v>0</v>
      </c>
      <c r="K342">
        <v>0</v>
      </c>
      <c r="L342">
        <v>0</v>
      </c>
      <c r="M342">
        <v>0</v>
      </c>
      <c r="N342">
        <v>0</v>
      </c>
    </row>
    <row r="343" spans="1:14" ht="12.75" x14ac:dyDescent="0.2">
      <c r="A343">
        <v>6952</v>
      </c>
      <c r="B343" s="342">
        <v>35200</v>
      </c>
      <c r="C343" t="s">
        <v>329</v>
      </c>
      <c r="D343">
        <v>9385.91</v>
      </c>
      <c r="E343">
        <v>56231.83</v>
      </c>
      <c r="F343">
        <v>51089</v>
      </c>
      <c r="G343">
        <v>49942.97</v>
      </c>
      <c r="H343">
        <v>49942.97</v>
      </c>
      <c r="I343">
        <v>51089</v>
      </c>
      <c r="J343">
        <v>9385.91</v>
      </c>
      <c r="K343">
        <v>56231.83</v>
      </c>
      <c r="L343">
        <v>49942.97</v>
      </c>
      <c r="M343">
        <v>49942.97</v>
      </c>
      <c r="N343">
        <v>0</v>
      </c>
    </row>
    <row r="344" spans="1:14" ht="12.75" x14ac:dyDescent="0.2">
      <c r="A344">
        <v>6952</v>
      </c>
      <c r="B344" s="342">
        <v>35201</v>
      </c>
      <c r="C344" t="s">
        <v>406</v>
      </c>
      <c r="D344">
        <v>0</v>
      </c>
      <c r="E344">
        <v>0</v>
      </c>
      <c r="F344">
        <v>0</v>
      </c>
      <c r="G344">
        <v>0</v>
      </c>
      <c r="H344">
        <v>0</v>
      </c>
      <c r="I344">
        <v>0</v>
      </c>
      <c r="J344">
        <v>0</v>
      </c>
      <c r="K344">
        <v>0</v>
      </c>
      <c r="L344">
        <v>0</v>
      </c>
      <c r="M344">
        <v>0</v>
      </c>
      <c r="N344">
        <v>0</v>
      </c>
    </row>
    <row r="345" spans="1:14" ht="12.75" x14ac:dyDescent="0.2">
      <c r="A345">
        <v>6952</v>
      </c>
      <c r="B345" s="342">
        <v>35203</v>
      </c>
      <c r="C345" t="s">
        <v>407</v>
      </c>
      <c r="D345">
        <v>0</v>
      </c>
      <c r="E345">
        <v>530.42999999999995</v>
      </c>
      <c r="F345">
        <v>4200</v>
      </c>
      <c r="G345">
        <v>3241.09</v>
      </c>
      <c r="H345">
        <v>3241.09</v>
      </c>
      <c r="I345">
        <v>4200</v>
      </c>
      <c r="J345">
        <v>0</v>
      </c>
      <c r="K345">
        <v>530.42999999999995</v>
      </c>
      <c r="L345">
        <v>3241.09</v>
      </c>
      <c r="M345">
        <v>3241.09</v>
      </c>
      <c r="N345">
        <v>0</v>
      </c>
    </row>
    <row r="346" spans="1:14" ht="12.75" x14ac:dyDescent="0.2">
      <c r="A346">
        <v>6952</v>
      </c>
      <c r="B346" s="342">
        <v>35204</v>
      </c>
      <c r="C346" t="s">
        <v>408</v>
      </c>
      <c r="D346">
        <v>853.91</v>
      </c>
      <c r="E346">
        <v>2368.29</v>
      </c>
      <c r="F346">
        <v>1000</v>
      </c>
      <c r="G346">
        <v>878.26</v>
      </c>
      <c r="H346">
        <v>878.26</v>
      </c>
      <c r="I346">
        <v>1000</v>
      </c>
      <c r="J346">
        <v>853.91</v>
      </c>
      <c r="K346">
        <v>2368.29</v>
      </c>
      <c r="L346">
        <v>878.26</v>
      </c>
      <c r="M346">
        <v>878.26</v>
      </c>
      <c r="N346">
        <v>0</v>
      </c>
    </row>
    <row r="347" spans="1:14" ht="12.75" x14ac:dyDescent="0.2">
      <c r="A347">
        <v>6952</v>
      </c>
      <c r="B347" s="342">
        <v>35205</v>
      </c>
      <c r="C347" t="s">
        <v>677</v>
      </c>
      <c r="D347">
        <v>0</v>
      </c>
      <c r="E347">
        <v>0</v>
      </c>
      <c r="F347">
        <v>0</v>
      </c>
      <c r="G347">
        <v>0</v>
      </c>
      <c r="H347">
        <v>0</v>
      </c>
      <c r="I347">
        <v>0</v>
      </c>
      <c r="J347">
        <v>0</v>
      </c>
      <c r="K347">
        <v>0</v>
      </c>
      <c r="L347">
        <v>0</v>
      </c>
      <c r="M347">
        <v>0</v>
      </c>
      <c r="N347">
        <v>0</v>
      </c>
    </row>
    <row r="348" spans="1:14" ht="12.75" x14ac:dyDescent="0.2">
      <c r="A348">
        <v>6952</v>
      </c>
      <c r="B348" s="342">
        <v>35206</v>
      </c>
      <c r="C348" t="s">
        <v>1486</v>
      </c>
      <c r="D348">
        <v>0</v>
      </c>
      <c r="E348">
        <v>0</v>
      </c>
      <c r="F348">
        <v>0</v>
      </c>
      <c r="G348">
        <v>0</v>
      </c>
      <c r="H348">
        <v>0</v>
      </c>
      <c r="I348">
        <v>0</v>
      </c>
      <c r="J348">
        <v>0</v>
      </c>
      <c r="K348">
        <v>0</v>
      </c>
      <c r="L348">
        <v>0</v>
      </c>
      <c r="M348">
        <v>0</v>
      </c>
      <c r="N348">
        <v>0</v>
      </c>
    </row>
    <row r="349" spans="1:14" ht="12.75" x14ac:dyDescent="0.2">
      <c r="A349">
        <v>6952</v>
      </c>
      <c r="B349" s="342">
        <v>35210</v>
      </c>
      <c r="C349" t="s">
        <v>409</v>
      </c>
      <c r="D349">
        <v>0</v>
      </c>
      <c r="E349">
        <v>0</v>
      </c>
      <c r="F349">
        <v>0</v>
      </c>
      <c r="G349">
        <v>0</v>
      </c>
      <c r="H349">
        <v>0</v>
      </c>
      <c r="I349">
        <v>0</v>
      </c>
      <c r="J349">
        <v>0</v>
      </c>
      <c r="K349">
        <v>0</v>
      </c>
      <c r="L349">
        <v>0</v>
      </c>
      <c r="M349">
        <v>0</v>
      </c>
      <c r="N349">
        <v>0</v>
      </c>
    </row>
    <row r="350" spans="1:14" ht="12.75" x14ac:dyDescent="0.2">
      <c r="A350">
        <v>6952</v>
      </c>
      <c r="B350" s="342">
        <v>35215</v>
      </c>
      <c r="C350" t="s">
        <v>410</v>
      </c>
      <c r="D350">
        <v>0</v>
      </c>
      <c r="E350">
        <v>154.25</v>
      </c>
      <c r="F350">
        <v>1500</v>
      </c>
      <c r="G350">
        <v>86.96</v>
      </c>
      <c r="H350">
        <v>86.96</v>
      </c>
      <c r="I350">
        <v>1500</v>
      </c>
      <c r="J350">
        <v>0</v>
      </c>
      <c r="K350">
        <v>154.25</v>
      </c>
      <c r="L350">
        <v>86.96</v>
      </c>
      <c r="M350">
        <v>86.96</v>
      </c>
      <c r="N350">
        <v>0</v>
      </c>
    </row>
    <row r="351" spans="1:14" ht="12.75" x14ac:dyDescent="0.2">
      <c r="A351">
        <v>6952</v>
      </c>
      <c r="B351" s="342">
        <v>35220</v>
      </c>
      <c r="C351" t="s">
        <v>411</v>
      </c>
      <c r="D351">
        <v>284.14999999999998</v>
      </c>
      <c r="E351">
        <v>1966.64</v>
      </c>
      <c r="F351">
        <v>2000</v>
      </c>
      <c r="G351">
        <v>898.13</v>
      </c>
      <c r="H351">
        <v>898.13</v>
      </c>
      <c r="I351">
        <v>2000</v>
      </c>
      <c r="J351">
        <v>284.14999999999998</v>
      </c>
      <c r="K351">
        <v>1966.64</v>
      </c>
      <c r="L351">
        <v>898.13</v>
      </c>
      <c r="M351">
        <v>898.13</v>
      </c>
      <c r="N351">
        <v>0</v>
      </c>
    </row>
    <row r="352" spans="1:14" ht="12.75" x14ac:dyDescent="0.2">
      <c r="A352">
        <v>6952</v>
      </c>
      <c r="B352">
        <v>35225</v>
      </c>
      <c r="C352" t="s">
        <v>48</v>
      </c>
      <c r="D352">
        <v>0</v>
      </c>
      <c r="E352">
        <v>0</v>
      </c>
      <c r="F352">
        <v>0</v>
      </c>
      <c r="G352">
        <v>0</v>
      </c>
      <c r="H352">
        <v>0</v>
      </c>
      <c r="I352">
        <v>0</v>
      </c>
      <c r="J352">
        <v>0</v>
      </c>
      <c r="K352">
        <v>0</v>
      </c>
      <c r="L352">
        <v>0</v>
      </c>
      <c r="M352">
        <v>0</v>
      </c>
      <c r="N352">
        <v>0</v>
      </c>
    </row>
    <row r="353" spans="1:14" ht="12.75" x14ac:dyDescent="0.2">
      <c r="A353">
        <v>6952</v>
      </c>
      <c r="B353" s="342">
        <v>35230</v>
      </c>
      <c r="C353" t="s">
        <v>333</v>
      </c>
      <c r="D353">
        <v>720.18</v>
      </c>
      <c r="E353">
        <v>5938.93</v>
      </c>
      <c r="F353">
        <v>8000</v>
      </c>
      <c r="G353">
        <v>5822.98</v>
      </c>
      <c r="H353">
        <v>5822.98</v>
      </c>
      <c r="I353">
        <v>8000</v>
      </c>
      <c r="J353">
        <v>720.18</v>
      </c>
      <c r="K353">
        <v>5938.93</v>
      </c>
      <c r="L353">
        <v>5822.98</v>
      </c>
      <c r="M353">
        <v>5822.98</v>
      </c>
      <c r="N353">
        <v>0</v>
      </c>
    </row>
    <row r="354" spans="1:14" ht="12.75" x14ac:dyDescent="0.2">
      <c r="A354">
        <v>6952</v>
      </c>
      <c r="B354" s="342">
        <v>35270</v>
      </c>
      <c r="C354" t="s">
        <v>359</v>
      </c>
      <c r="D354">
        <v>0</v>
      </c>
      <c r="E354">
        <v>0</v>
      </c>
      <c r="F354">
        <v>0</v>
      </c>
      <c r="G354">
        <v>0</v>
      </c>
      <c r="H354">
        <v>0</v>
      </c>
      <c r="I354">
        <v>0</v>
      </c>
      <c r="J354">
        <v>0</v>
      </c>
      <c r="K354">
        <v>0</v>
      </c>
      <c r="L354">
        <v>0</v>
      </c>
      <c r="M354">
        <v>0</v>
      </c>
      <c r="N354">
        <v>0</v>
      </c>
    </row>
    <row r="355" spans="1:14" ht="12.75" x14ac:dyDescent="0.2">
      <c r="A355">
        <v>6952</v>
      </c>
      <c r="B355" s="342">
        <v>35278</v>
      </c>
      <c r="C355" t="s">
        <v>385</v>
      </c>
      <c r="D355">
        <v>0</v>
      </c>
      <c r="E355">
        <v>0</v>
      </c>
      <c r="F355">
        <v>0</v>
      </c>
      <c r="G355">
        <v>0</v>
      </c>
      <c r="H355">
        <v>0</v>
      </c>
      <c r="I355">
        <v>0</v>
      </c>
      <c r="J355">
        <v>0</v>
      </c>
      <c r="K355">
        <v>0</v>
      </c>
      <c r="L355">
        <v>0</v>
      </c>
      <c r="M355">
        <v>0</v>
      </c>
      <c r="N355">
        <v>0</v>
      </c>
    </row>
    <row r="356" spans="1:14" ht="12.75" x14ac:dyDescent="0.2">
      <c r="A356">
        <v>6952</v>
      </c>
      <c r="B356" s="342">
        <v>35280</v>
      </c>
      <c r="C356" t="s">
        <v>428</v>
      </c>
      <c r="D356">
        <v>0</v>
      </c>
      <c r="E356">
        <v>0</v>
      </c>
      <c r="F356">
        <v>0</v>
      </c>
      <c r="G356">
        <v>0</v>
      </c>
      <c r="H356">
        <v>0</v>
      </c>
      <c r="I356">
        <v>0</v>
      </c>
      <c r="J356">
        <v>0</v>
      </c>
      <c r="K356">
        <v>0</v>
      </c>
      <c r="L356">
        <v>0</v>
      </c>
      <c r="M356">
        <v>0</v>
      </c>
      <c r="N356">
        <v>0</v>
      </c>
    </row>
    <row r="357" spans="1:14" ht="12.75" x14ac:dyDescent="0.2">
      <c r="A357">
        <v>6952</v>
      </c>
      <c r="B357" s="342">
        <v>35283</v>
      </c>
      <c r="C357" t="s">
        <v>393</v>
      </c>
      <c r="D357">
        <v>0</v>
      </c>
      <c r="E357">
        <v>0</v>
      </c>
      <c r="F357">
        <v>0</v>
      </c>
      <c r="G357">
        <v>0</v>
      </c>
      <c r="H357">
        <v>0</v>
      </c>
      <c r="I357">
        <v>0</v>
      </c>
      <c r="J357">
        <v>0</v>
      </c>
      <c r="K357">
        <v>0</v>
      </c>
      <c r="L357">
        <v>0</v>
      </c>
      <c r="M357">
        <v>0</v>
      </c>
      <c r="N357">
        <v>0</v>
      </c>
    </row>
    <row r="358" spans="1:14" ht="12.75" x14ac:dyDescent="0.2">
      <c r="A358">
        <v>6952</v>
      </c>
      <c r="B358" s="342">
        <v>35290</v>
      </c>
      <c r="C358" t="s">
        <v>429</v>
      </c>
      <c r="D358">
        <v>0</v>
      </c>
      <c r="E358">
        <v>0</v>
      </c>
      <c r="F358">
        <v>0</v>
      </c>
      <c r="G358">
        <v>0</v>
      </c>
      <c r="H358">
        <v>0</v>
      </c>
      <c r="I358">
        <v>0</v>
      </c>
      <c r="J358">
        <v>0</v>
      </c>
      <c r="K358">
        <v>0</v>
      </c>
      <c r="L358">
        <v>0</v>
      </c>
      <c r="M358">
        <v>0</v>
      </c>
      <c r="N358">
        <v>0</v>
      </c>
    </row>
    <row r="359" spans="1:14" ht="12.75" x14ac:dyDescent="0.2">
      <c r="A359">
        <v>6952</v>
      </c>
      <c r="B359" s="342">
        <v>35291</v>
      </c>
      <c r="C359" t="s">
        <v>406</v>
      </c>
      <c r="D359">
        <v>0</v>
      </c>
      <c r="E359">
        <v>0</v>
      </c>
      <c r="F359">
        <v>0</v>
      </c>
      <c r="G359">
        <v>0</v>
      </c>
      <c r="H359">
        <v>0</v>
      </c>
      <c r="I359">
        <v>0</v>
      </c>
      <c r="J359">
        <v>0</v>
      </c>
      <c r="K359">
        <v>0</v>
      </c>
      <c r="L359">
        <v>0</v>
      </c>
      <c r="M359">
        <v>0</v>
      </c>
      <c r="N359">
        <v>0</v>
      </c>
    </row>
    <row r="360" spans="1:14" ht="12.75" x14ac:dyDescent="0.2">
      <c r="A360">
        <v>6952</v>
      </c>
      <c r="B360" s="342">
        <v>35292</v>
      </c>
      <c r="C360" t="s">
        <v>677</v>
      </c>
      <c r="D360">
        <v>0</v>
      </c>
      <c r="E360">
        <v>0</v>
      </c>
      <c r="F360">
        <v>0</v>
      </c>
      <c r="G360">
        <v>0</v>
      </c>
      <c r="H360">
        <v>0</v>
      </c>
      <c r="I360">
        <v>0</v>
      </c>
      <c r="J360">
        <v>0</v>
      </c>
      <c r="K360">
        <v>0</v>
      </c>
      <c r="L360">
        <v>0</v>
      </c>
      <c r="M360">
        <v>0</v>
      </c>
      <c r="N360">
        <v>0</v>
      </c>
    </row>
    <row r="361" spans="1:14" ht="12.75" x14ac:dyDescent="0.2">
      <c r="A361">
        <v>6952</v>
      </c>
      <c r="B361" s="342">
        <v>35295</v>
      </c>
      <c r="C361" t="s">
        <v>372</v>
      </c>
      <c r="D361">
        <v>0</v>
      </c>
      <c r="E361">
        <v>0</v>
      </c>
      <c r="F361">
        <v>0</v>
      </c>
      <c r="G361">
        <v>0</v>
      </c>
      <c r="H361">
        <v>0</v>
      </c>
      <c r="I361">
        <v>0</v>
      </c>
      <c r="J361">
        <v>0</v>
      </c>
      <c r="K361">
        <v>0</v>
      </c>
      <c r="L361">
        <v>0</v>
      </c>
      <c r="M361">
        <v>0</v>
      </c>
      <c r="N361">
        <v>0</v>
      </c>
    </row>
    <row r="362" spans="1:14" ht="12.75" x14ac:dyDescent="0.2">
      <c r="A362">
        <v>6952</v>
      </c>
      <c r="B362" s="342">
        <v>35296</v>
      </c>
      <c r="C362" t="s">
        <v>373</v>
      </c>
      <c r="D362">
        <v>0</v>
      </c>
      <c r="E362">
        <v>0</v>
      </c>
      <c r="F362">
        <v>0</v>
      </c>
      <c r="G362">
        <v>0</v>
      </c>
      <c r="H362">
        <v>0</v>
      </c>
      <c r="I362">
        <v>0</v>
      </c>
      <c r="J362">
        <v>0</v>
      </c>
      <c r="K362">
        <v>0</v>
      </c>
      <c r="L362">
        <v>0</v>
      </c>
      <c r="M362">
        <v>0</v>
      </c>
      <c r="N362">
        <v>0</v>
      </c>
    </row>
    <row r="363" spans="1:14" ht="12.75" x14ac:dyDescent="0.2">
      <c r="A363">
        <v>6952</v>
      </c>
      <c r="B363">
        <v>35297</v>
      </c>
      <c r="C363" t="s">
        <v>336</v>
      </c>
      <c r="D363">
        <v>0</v>
      </c>
      <c r="E363">
        <v>0</v>
      </c>
      <c r="F363">
        <v>0</v>
      </c>
      <c r="G363">
        <v>0</v>
      </c>
      <c r="H363">
        <v>0</v>
      </c>
      <c r="I363">
        <v>0</v>
      </c>
      <c r="J363">
        <v>0</v>
      </c>
      <c r="K363">
        <v>0</v>
      </c>
      <c r="L363">
        <v>0</v>
      </c>
      <c r="M363">
        <v>0</v>
      </c>
      <c r="N363">
        <v>0</v>
      </c>
    </row>
    <row r="364" spans="1:14" ht="12.75" x14ac:dyDescent="0.2">
      <c r="A364">
        <v>6952</v>
      </c>
      <c r="B364" s="342">
        <v>35298</v>
      </c>
      <c r="C364" t="s">
        <v>333</v>
      </c>
      <c r="D364">
        <v>0</v>
      </c>
      <c r="E364">
        <v>0</v>
      </c>
      <c r="F364">
        <v>0</v>
      </c>
      <c r="G364">
        <v>0</v>
      </c>
      <c r="H364">
        <v>0</v>
      </c>
      <c r="I364">
        <v>0</v>
      </c>
      <c r="J364">
        <v>0</v>
      </c>
      <c r="K364">
        <v>0</v>
      </c>
      <c r="L364">
        <v>0</v>
      </c>
      <c r="M364">
        <v>0</v>
      </c>
      <c r="N364">
        <v>0</v>
      </c>
    </row>
    <row r="365" spans="1:14" ht="12.75" x14ac:dyDescent="0.2">
      <c r="A365">
        <v>6952</v>
      </c>
      <c r="B365" s="342">
        <v>35300</v>
      </c>
      <c r="C365" t="s">
        <v>1271</v>
      </c>
      <c r="D365">
        <v>25.24</v>
      </c>
      <c r="E365">
        <v>423.21</v>
      </c>
      <c r="F365">
        <v>650</v>
      </c>
      <c r="G365">
        <v>591.11</v>
      </c>
      <c r="H365">
        <v>591.11</v>
      </c>
      <c r="I365">
        <v>650</v>
      </c>
      <c r="J365">
        <v>25.24</v>
      </c>
      <c r="K365">
        <v>423.21</v>
      </c>
      <c r="L365">
        <v>591.11</v>
      </c>
      <c r="M365">
        <v>591.11</v>
      </c>
      <c r="N365">
        <v>0</v>
      </c>
    </row>
    <row r="366" spans="1:14" ht="12.75" x14ac:dyDescent="0.2">
      <c r="A366">
        <v>6952</v>
      </c>
      <c r="B366" s="342">
        <v>35305</v>
      </c>
      <c r="C366" t="s">
        <v>430</v>
      </c>
      <c r="D366">
        <v>0</v>
      </c>
      <c r="E366">
        <v>0</v>
      </c>
      <c r="F366">
        <v>0</v>
      </c>
      <c r="G366">
        <v>0</v>
      </c>
      <c r="H366">
        <v>0</v>
      </c>
      <c r="I366">
        <v>0</v>
      </c>
      <c r="J366">
        <v>0</v>
      </c>
      <c r="K366">
        <v>0</v>
      </c>
      <c r="L366">
        <v>0</v>
      </c>
      <c r="M366">
        <v>0</v>
      </c>
      <c r="N366">
        <v>0</v>
      </c>
    </row>
    <row r="367" spans="1:14" ht="12.75" x14ac:dyDescent="0.2">
      <c r="A367">
        <v>6952</v>
      </c>
      <c r="B367" s="342">
        <v>35310</v>
      </c>
      <c r="C367" t="s">
        <v>337</v>
      </c>
      <c r="D367">
        <v>0</v>
      </c>
      <c r="E367">
        <v>0</v>
      </c>
      <c r="F367">
        <v>0</v>
      </c>
      <c r="G367">
        <v>0</v>
      </c>
      <c r="H367">
        <v>0</v>
      </c>
      <c r="I367">
        <v>0</v>
      </c>
      <c r="J367">
        <v>0</v>
      </c>
      <c r="K367">
        <v>0</v>
      </c>
      <c r="L367">
        <v>0</v>
      </c>
      <c r="M367">
        <v>0</v>
      </c>
      <c r="N367">
        <v>0</v>
      </c>
    </row>
    <row r="368" spans="1:14" ht="12.75" x14ac:dyDescent="0.2">
      <c r="A368">
        <v>6952</v>
      </c>
      <c r="B368" s="342">
        <v>35315</v>
      </c>
      <c r="C368" t="s">
        <v>335</v>
      </c>
      <c r="D368">
        <v>0</v>
      </c>
      <c r="E368">
        <v>0</v>
      </c>
      <c r="F368">
        <v>0</v>
      </c>
      <c r="G368">
        <v>0</v>
      </c>
      <c r="H368">
        <v>0</v>
      </c>
      <c r="I368">
        <v>0</v>
      </c>
      <c r="J368">
        <v>0</v>
      </c>
      <c r="K368">
        <v>0</v>
      </c>
      <c r="L368">
        <v>0</v>
      </c>
      <c r="M368">
        <v>0</v>
      </c>
      <c r="N368">
        <v>0</v>
      </c>
    </row>
    <row r="369" spans="1:14" ht="12.75" x14ac:dyDescent="0.2">
      <c r="A369">
        <v>6952</v>
      </c>
      <c r="B369" s="342">
        <v>35320</v>
      </c>
      <c r="C369" t="s">
        <v>431</v>
      </c>
      <c r="D369">
        <v>0</v>
      </c>
      <c r="E369">
        <v>0</v>
      </c>
      <c r="F369">
        <v>0</v>
      </c>
      <c r="G369">
        <v>0</v>
      </c>
      <c r="H369">
        <v>0</v>
      </c>
      <c r="I369">
        <v>0</v>
      </c>
      <c r="J369">
        <v>0</v>
      </c>
      <c r="K369">
        <v>0</v>
      </c>
      <c r="L369">
        <v>0</v>
      </c>
      <c r="M369">
        <v>0</v>
      </c>
      <c r="N369">
        <v>0</v>
      </c>
    </row>
    <row r="370" spans="1:14" ht="12.75" x14ac:dyDescent="0.2">
      <c r="A370">
        <v>6952</v>
      </c>
      <c r="B370" s="342">
        <v>35325</v>
      </c>
      <c r="C370" t="s">
        <v>1272</v>
      </c>
      <c r="D370">
        <v>0</v>
      </c>
      <c r="E370">
        <v>0</v>
      </c>
      <c r="F370">
        <v>300</v>
      </c>
      <c r="G370">
        <v>0</v>
      </c>
      <c r="H370">
        <v>0</v>
      </c>
      <c r="I370">
        <v>300</v>
      </c>
      <c r="J370">
        <v>0</v>
      </c>
      <c r="K370">
        <v>0</v>
      </c>
      <c r="L370">
        <v>0</v>
      </c>
      <c r="M370">
        <v>0</v>
      </c>
      <c r="N370">
        <v>0</v>
      </c>
    </row>
    <row r="371" spans="1:14" ht="12.75" x14ac:dyDescent="0.2">
      <c r="A371">
        <v>6952</v>
      </c>
      <c r="B371" s="342">
        <v>35330</v>
      </c>
      <c r="C371" t="s">
        <v>1273</v>
      </c>
      <c r="D371">
        <v>114.18</v>
      </c>
      <c r="E371">
        <v>564.38</v>
      </c>
      <c r="F371">
        <v>450</v>
      </c>
      <c r="G371">
        <v>558.95000000000005</v>
      </c>
      <c r="H371">
        <v>558.95000000000005</v>
      </c>
      <c r="I371">
        <v>450</v>
      </c>
      <c r="J371">
        <v>114.18</v>
      </c>
      <c r="K371">
        <v>564.38</v>
      </c>
      <c r="L371">
        <v>558.95000000000005</v>
      </c>
      <c r="M371">
        <v>558.95000000000005</v>
      </c>
      <c r="N371">
        <v>0</v>
      </c>
    </row>
    <row r="372" spans="1:14" ht="12.75" x14ac:dyDescent="0.2">
      <c r="A372">
        <v>6952</v>
      </c>
      <c r="B372" s="342">
        <v>35335</v>
      </c>
      <c r="C372" t="s">
        <v>1274</v>
      </c>
      <c r="D372">
        <v>0</v>
      </c>
      <c r="E372">
        <v>839.92</v>
      </c>
      <c r="F372">
        <v>750</v>
      </c>
      <c r="G372">
        <v>714.12</v>
      </c>
      <c r="H372">
        <v>714.12</v>
      </c>
      <c r="I372">
        <v>750</v>
      </c>
      <c r="J372">
        <v>0</v>
      </c>
      <c r="K372">
        <v>839.92</v>
      </c>
      <c r="L372">
        <v>714.12</v>
      </c>
      <c r="M372">
        <v>714.12</v>
      </c>
      <c r="N372">
        <v>0</v>
      </c>
    </row>
    <row r="373" spans="1:14" ht="12.75" x14ac:dyDescent="0.2">
      <c r="A373">
        <v>6952</v>
      </c>
      <c r="B373" s="342">
        <v>35340</v>
      </c>
      <c r="C373" t="s">
        <v>1275</v>
      </c>
      <c r="D373">
        <v>729.52</v>
      </c>
      <c r="E373">
        <v>3722.65</v>
      </c>
      <c r="F373">
        <v>2500</v>
      </c>
      <c r="G373">
        <v>2544.11</v>
      </c>
      <c r="H373">
        <v>2544.11</v>
      </c>
      <c r="I373">
        <v>2500</v>
      </c>
      <c r="J373">
        <v>729.52</v>
      </c>
      <c r="K373">
        <v>3722.65</v>
      </c>
      <c r="L373">
        <v>2544.11</v>
      </c>
      <c r="M373">
        <v>2544.11</v>
      </c>
      <c r="N373">
        <v>0</v>
      </c>
    </row>
    <row r="374" spans="1:14" ht="12.75" x14ac:dyDescent="0.2">
      <c r="A374">
        <v>6952</v>
      </c>
      <c r="B374" s="342">
        <v>35345</v>
      </c>
      <c r="C374" t="s">
        <v>1276</v>
      </c>
      <c r="D374">
        <v>0</v>
      </c>
      <c r="E374">
        <v>0</v>
      </c>
      <c r="F374">
        <v>0</v>
      </c>
      <c r="G374">
        <v>0</v>
      </c>
      <c r="H374">
        <v>0</v>
      </c>
      <c r="I374">
        <v>0</v>
      </c>
      <c r="J374">
        <v>0</v>
      </c>
      <c r="K374">
        <v>0</v>
      </c>
      <c r="L374">
        <v>0</v>
      </c>
      <c r="M374">
        <v>0</v>
      </c>
      <c r="N374">
        <v>0</v>
      </c>
    </row>
    <row r="375" spans="1:14" ht="12.75" x14ac:dyDescent="0.2">
      <c r="A375">
        <v>6952</v>
      </c>
      <c r="B375" s="342">
        <v>35350</v>
      </c>
      <c r="C375" t="s">
        <v>1277</v>
      </c>
      <c r="D375">
        <v>0</v>
      </c>
      <c r="E375">
        <v>0</v>
      </c>
      <c r="F375">
        <v>0</v>
      </c>
      <c r="G375">
        <v>0</v>
      </c>
      <c r="H375">
        <v>0</v>
      </c>
      <c r="I375">
        <v>0</v>
      </c>
      <c r="J375">
        <v>0</v>
      </c>
      <c r="K375">
        <v>0</v>
      </c>
      <c r="L375">
        <v>0</v>
      </c>
      <c r="M375">
        <v>0</v>
      </c>
      <c r="N375">
        <v>0</v>
      </c>
    </row>
    <row r="376" spans="1:14" ht="12.75" x14ac:dyDescent="0.2">
      <c r="A376">
        <v>6952</v>
      </c>
      <c r="B376" s="342">
        <v>35360</v>
      </c>
      <c r="C376" t="s">
        <v>1278</v>
      </c>
      <c r="D376">
        <v>0</v>
      </c>
      <c r="E376">
        <v>340.02</v>
      </c>
      <c r="F376">
        <v>500</v>
      </c>
      <c r="G376">
        <v>425.69</v>
      </c>
      <c r="H376">
        <v>425.69</v>
      </c>
      <c r="I376">
        <v>500</v>
      </c>
      <c r="J376">
        <v>0</v>
      </c>
      <c r="K376">
        <v>340.02</v>
      </c>
      <c r="L376">
        <v>425.69</v>
      </c>
      <c r="M376">
        <v>425.69</v>
      </c>
      <c r="N376">
        <v>0</v>
      </c>
    </row>
    <row r="377" spans="1:14" ht="12.75" x14ac:dyDescent="0.2">
      <c r="A377">
        <v>6952</v>
      </c>
      <c r="B377" s="342">
        <v>35361</v>
      </c>
      <c r="C377" t="s">
        <v>1279</v>
      </c>
      <c r="D377">
        <v>0</v>
      </c>
      <c r="E377">
        <v>0</v>
      </c>
      <c r="F377">
        <v>200</v>
      </c>
      <c r="G377">
        <v>27.83</v>
      </c>
      <c r="H377">
        <v>27.83</v>
      </c>
      <c r="I377">
        <v>200</v>
      </c>
      <c r="J377">
        <v>0</v>
      </c>
      <c r="K377">
        <v>0</v>
      </c>
      <c r="L377">
        <v>27.83</v>
      </c>
      <c r="M377">
        <v>27.83</v>
      </c>
      <c r="N377">
        <v>0</v>
      </c>
    </row>
    <row r="378" spans="1:14" ht="12.75" x14ac:dyDescent="0.2">
      <c r="A378">
        <v>6952</v>
      </c>
      <c r="B378" s="342">
        <v>35365</v>
      </c>
      <c r="C378" t="s">
        <v>433</v>
      </c>
      <c r="D378">
        <v>0</v>
      </c>
      <c r="E378">
        <v>0</v>
      </c>
      <c r="F378">
        <v>0</v>
      </c>
      <c r="G378">
        <v>0</v>
      </c>
      <c r="H378">
        <v>0</v>
      </c>
      <c r="I378">
        <v>0</v>
      </c>
      <c r="J378">
        <v>0</v>
      </c>
      <c r="K378">
        <v>0</v>
      </c>
      <c r="L378">
        <v>0</v>
      </c>
      <c r="M378">
        <v>0</v>
      </c>
      <c r="N378">
        <v>0</v>
      </c>
    </row>
    <row r="379" spans="1:14" ht="12.75" x14ac:dyDescent="0.2">
      <c r="A379">
        <v>6952</v>
      </c>
      <c r="B379" s="342">
        <v>35400</v>
      </c>
      <c r="C379" t="s">
        <v>329</v>
      </c>
      <c r="D379">
        <v>4450</v>
      </c>
      <c r="E379">
        <v>28828.1</v>
      </c>
      <c r="F379">
        <v>32100</v>
      </c>
      <c r="G379">
        <v>25670.44</v>
      </c>
      <c r="H379">
        <v>25670.44</v>
      </c>
      <c r="I379">
        <v>32100</v>
      </c>
      <c r="J379">
        <v>4450</v>
      </c>
      <c r="K379">
        <v>28828.1</v>
      </c>
      <c r="L379">
        <v>25670.44</v>
      </c>
      <c r="M379">
        <v>25670.44</v>
      </c>
      <c r="N379">
        <v>0</v>
      </c>
    </row>
    <row r="380" spans="1:14" ht="12.75" x14ac:dyDescent="0.2">
      <c r="A380">
        <v>6952</v>
      </c>
      <c r="B380" s="342">
        <v>35401</v>
      </c>
      <c r="C380" t="s">
        <v>406</v>
      </c>
      <c r="D380">
        <v>0</v>
      </c>
      <c r="E380">
        <v>0</v>
      </c>
      <c r="F380">
        <v>0</v>
      </c>
      <c r="G380">
        <v>0</v>
      </c>
      <c r="H380">
        <v>0</v>
      </c>
      <c r="I380">
        <v>0</v>
      </c>
      <c r="J380">
        <v>0</v>
      </c>
      <c r="K380">
        <v>0</v>
      </c>
      <c r="L380">
        <v>0</v>
      </c>
      <c r="M380">
        <v>0</v>
      </c>
      <c r="N380">
        <v>0</v>
      </c>
    </row>
    <row r="381" spans="1:14" ht="12.75" x14ac:dyDescent="0.2">
      <c r="A381">
        <v>6952</v>
      </c>
      <c r="B381" s="342">
        <v>35410</v>
      </c>
      <c r="C381" t="s">
        <v>434</v>
      </c>
      <c r="D381">
        <v>0</v>
      </c>
      <c r="E381">
        <v>368.69</v>
      </c>
      <c r="F381">
        <v>750</v>
      </c>
      <c r="G381">
        <v>206.96</v>
      </c>
      <c r="H381">
        <v>206.96</v>
      </c>
      <c r="I381">
        <v>750</v>
      </c>
      <c r="J381">
        <v>0</v>
      </c>
      <c r="K381">
        <v>368.69</v>
      </c>
      <c r="L381">
        <v>206.96</v>
      </c>
      <c r="M381">
        <v>206.96</v>
      </c>
      <c r="N381">
        <v>0</v>
      </c>
    </row>
    <row r="382" spans="1:14" ht="12.75" x14ac:dyDescent="0.2">
      <c r="A382">
        <v>6952</v>
      </c>
      <c r="B382" s="342">
        <v>35415</v>
      </c>
      <c r="C382" t="s">
        <v>276</v>
      </c>
      <c r="D382">
        <v>98.63</v>
      </c>
      <c r="E382">
        <v>812.9</v>
      </c>
      <c r="F382">
        <v>2000</v>
      </c>
      <c r="G382">
        <v>384.15</v>
      </c>
      <c r="H382">
        <v>384.15</v>
      </c>
      <c r="I382">
        <v>2000</v>
      </c>
      <c r="J382">
        <v>98.63</v>
      </c>
      <c r="K382">
        <v>812.9</v>
      </c>
      <c r="L382">
        <v>384.15</v>
      </c>
      <c r="M382">
        <v>384.15</v>
      </c>
      <c r="N382">
        <v>0</v>
      </c>
    </row>
    <row r="383" spans="1:14" ht="12.75" x14ac:dyDescent="0.2">
      <c r="A383">
        <v>6952</v>
      </c>
      <c r="B383">
        <v>35420</v>
      </c>
      <c r="C383" t="s">
        <v>49</v>
      </c>
      <c r="D383">
        <v>0</v>
      </c>
      <c r="E383">
        <v>0</v>
      </c>
      <c r="F383">
        <v>0</v>
      </c>
      <c r="G383">
        <v>0</v>
      </c>
      <c r="H383">
        <v>0</v>
      </c>
      <c r="I383">
        <v>0</v>
      </c>
      <c r="J383">
        <v>0</v>
      </c>
      <c r="K383">
        <v>0</v>
      </c>
      <c r="L383">
        <v>0</v>
      </c>
      <c r="M383">
        <v>0</v>
      </c>
      <c r="N383">
        <v>0</v>
      </c>
    </row>
    <row r="384" spans="1:14" ht="12.75" x14ac:dyDescent="0.2">
      <c r="A384">
        <v>6952</v>
      </c>
      <c r="B384" s="342">
        <v>35425</v>
      </c>
      <c r="C384" t="s">
        <v>333</v>
      </c>
      <c r="D384">
        <v>402.12</v>
      </c>
      <c r="E384">
        <v>3096.83</v>
      </c>
      <c r="F384">
        <v>3000</v>
      </c>
      <c r="G384">
        <v>2850.92</v>
      </c>
      <c r="H384">
        <v>2850.92</v>
      </c>
      <c r="I384">
        <v>3000</v>
      </c>
      <c r="J384">
        <v>402.12</v>
      </c>
      <c r="K384">
        <v>3096.83</v>
      </c>
      <c r="L384">
        <v>2850.92</v>
      </c>
      <c r="M384">
        <v>2850.92</v>
      </c>
      <c r="N384">
        <v>0</v>
      </c>
    </row>
    <row r="385" spans="1:14" ht="12.75" x14ac:dyDescent="0.2">
      <c r="A385">
        <v>6952</v>
      </c>
      <c r="B385" s="342">
        <v>35510</v>
      </c>
      <c r="C385" t="s">
        <v>435</v>
      </c>
      <c r="D385">
        <v>35667.410000000003</v>
      </c>
      <c r="E385">
        <v>351108.74</v>
      </c>
      <c r="F385">
        <v>370000</v>
      </c>
      <c r="G385">
        <v>336337.78</v>
      </c>
      <c r="H385">
        <v>336337.78</v>
      </c>
      <c r="I385">
        <v>370000</v>
      </c>
      <c r="J385">
        <v>35667.410000000003</v>
      </c>
      <c r="K385">
        <v>389760.64</v>
      </c>
      <c r="L385">
        <v>350634.89</v>
      </c>
      <c r="M385">
        <v>350634.89</v>
      </c>
      <c r="N385">
        <v>0</v>
      </c>
    </row>
    <row r="386" spans="1:14" ht="12.75" x14ac:dyDescent="0.2">
      <c r="A386">
        <v>6952</v>
      </c>
      <c r="B386" s="342">
        <v>35515</v>
      </c>
      <c r="C386" t="s">
        <v>436</v>
      </c>
      <c r="D386">
        <v>1252.6099999999999</v>
      </c>
      <c r="E386">
        <v>5127.68</v>
      </c>
      <c r="F386">
        <v>4000</v>
      </c>
      <c r="G386">
        <v>2679.18</v>
      </c>
      <c r="H386">
        <v>2679.18</v>
      </c>
      <c r="I386">
        <v>4000</v>
      </c>
      <c r="J386">
        <v>1252.6099999999999</v>
      </c>
      <c r="K386">
        <v>5640.69</v>
      </c>
      <c r="L386">
        <v>3548.75</v>
      </c>
      <c r="M386">
        <v>3548.75</v>
      </c>
      <c r="N386">
        <v>0</v>
      </c>
    </row>
    <row r="387" spans="1:14" ht="12.75" x14ac:dyDescent="0.2">
      <c r="A387">
        <v>6952</v>
      </c>
      <c r="B387" s="342">
        <v>35520</v>
      </c>
      <c r="C387" t="s">
        <v>437</v>
      </c>
      <c r="D387">
        <v>434.78</v>
      </c>
      <c r="E387">
        <v>70565.039999999994</v>
      </c>
      <c r="F387">
        <v>65000</v>
      </c>
      <c r="G387">
        <v>53725.17</v>
      </c>
      <c r="H387">
        <v>53725.17</v>
      </c>
      <c r="I387">
        <v>65000</v>
      </c>
      <c r="J387">
        <v>434.78</v>
      </c>
      <c r="K387">
        <v>72868.05</v>
      </c>
      <c r="L387">
        <v>53855.6</v>
      </c>
      <c r="M387">
        <v>53855.6</v>
      </c>
      <c r="N387">
        <v>0</v>
      </c>
    </row>
    <row r="388" spans="1:14" ht="12.75" x14ac:dyDescent="0.2">
      <c r="A388">
        <v>6952</v>
      </c>
      <c r="B388" s="342">
        <v>35524</v>
      </c>
      <c r="C388" t="s">
        <v>1487</v>
      </c>
      <c r="D388">
        <v>113.19</v>
      </c>
      <c r="E388">
        <v>6083.07</v>
      </c>
      <c r="F388">
        <v>38000</v>
      </c>
      <c r="G388">
        <v>3786.12</v>
      </c>
      <c r="H388">
        <v>3786.12</v>
      </c>
      <c r="I388">
        <v>38000</v>
      </c>
      <c r="J388">
        <v>113.19</v>
      </c>
      <c r="K388">
        <v>6083.07</v>
      </c>
      <c r="L388">
        <v>3786.12</v>
      </c>
      <c r="M388">
        <v>3786.12</v>
      </c>
      <c r="N388">
        <v>0</v>
      </c>
    </row>
    <row r="389" spans="1:14" ht="12.75" x14ac:dyDescent="0.2">
      <c r="A389">
        <v>6952</v>
      </c>
      <c r="B389" s="342">
        <v>35525</v>
      </c>
      <c r="C389" t="s">
        <v>438</v>
      </c>
      <c r="D389">
        <v>6864.98</v>
      </c>
      <c r="E389">
        <v>97566.25</v>
      </c>
      <c r="F389">
        <v>140000</v>
      </c>
      <c r="G389">
        <v>197918.04</v>
      </c>
      <c r="H389">
        <v>197918.04</v>
      </c>
      <c r="I389">
        <v>140000</v>
      </c>
      <c r="J389">
        <v>6864.98</v>
      </c>
      <c r="K389">
        <v>98304.98</v>
      </c>
      <c r="L389">
        <v>241396.3</v>
      </c>
      <c r="M389">
        <v>241396.3</v>
      </c>
      <c r="N389">
        <v>0</v>
      </c>
    </row>
    <row r="390" spans="1:14" ht="12.75" x14ac:dyDescent="0.2">
      <c r="A390">
        <v>6952</v>
      </c>
      <c r="B390" s="342">
        <v>35526</v>
      </c>
      <c r="C390" t="s">
        <v>883</v>
      </c>
      <c r="D390">
        <v>10625.14</v>
      </c>
      <c r="E390">
        <v>74101.960000000006</v>
      </c>
      <c r="F390">
        <v>66500</v>
      </c>
      <c r="G390">
        <v>45373.23</v>
      </c>
      <c r="H390">
        <v>45373.23</v>
      </c>
      <c r="I390">
        <v>66500</v>
      </c>
      <c r="J390">
        <v>10625.14</v>
      </c>
      <c r="K390">
        <v>74101.960000000006</v>
      </c>
      <c r="L390">
        <v>45373.23</v>
      </c>
      <c r="M390">
        <v>45373.23</v>
      </c>
      <c r="N390">
        <v>0</v>
      </c>
    </row>
    <row r="391" spans="1:14" ht="12.75" x14ac:dyDescent="0.2">
      <c r="A391">
        <v>6952</v>
      </c>
      <c r="B391" s="342">
        <v>35527</v>
      </c>
      <c r="C391" t="s">
        <v>884</v>
      </c>
      <c r="D391">
        <v>424.1</v>
      </c>
      <c r="E391">
        <v>3776.81</v>
      </c>
      <c r="F391">
        <v>8250</v>
      </c>
      <c r="G391">
        <v>8227.43</v>
      </c>
      <c r="H391">
        <v>8227.43</v>
      </c>
      <c r="I391">
        <v>8250</v>
      </c>
      <c r="J391">
        <v>424.1</v>
      </c>
      <c r="K391">
        <v>3776.81</v>
      </c>
      <c r="L391">
        <v>8227.43</v>
      </c>
      <c r="M391">
        <v>8227.43</v>
      </c>
      <c r="N391">
        <v>0</v>
      </c>
    </row>
    <row r="392" spans="1:14" ht="12.75" x14ac:dyDescent="0.2">
      <c r="A392">
        <v>6952</v>
      </c>
      <c r="B392" s="342">
        <v>35528</v>
      </c>
      <c r="C392" t="s">
        <v>885</v>
      </c>
      <c r="D392">
        <v>0</v>
      </c>
      <c r="E392">
        <v>0</v>
      </c>
      <c r="F392">
        <v>0</v>
      </c>
      <c r="G392">
        <v>0</v>
      </c>
      <c r="H392">
        <v>0</v>
      </c>
      <c r="I392">
        <v>0</v>
      </c>
      <c r="J392">
        <v>0</v>
      </c>
      <c r="K392">
        <v>0</v>
      </c>
      <c r="L392">
        <v>0</v>
      </c>
      <c r="M392">
        <v>0</v>
      </c>
      <c r="N392">
        <v>0</v>
      </c>
    </row>
    <row r="393" spans="1:14" ht="12.75" x14ac:dyDescent="0.2">
      <c r="A393">
        <v>6952</v>
      </c>
      <c r="B393" s="342">
        <v>35529</v>
      </c>
      <c r="C393" t="s">
        <v>957</v>
      </c>
      <c r="D393">
        <v>0</v>
      </c>
      <c r="E393">
        <v>0</v>
      </c>
      <c r="F393">
        <v>0</v>
      </c>
      <c r="G393">
        <v>0</v>
      </c>
      <c r="H393">
        <v>0</v>
      </c>
      <c r="I393">
        <v>0</v>
      </c>
      <c r="J393">
        <v>0</v>
      </c>
      <c r="K393">
        <v>0</v>
      </c>
      <c r="L393">
        <v>0</v>
      </c>
      <c r="M393">
        <v>0</v>
      </c>
      <c r="N393">
        <v>0</v>
      </c>
    </row>
    <row r="394" spans="1:14" ht="12.75" x14ac:dyDescent="0.2">
      <c r="A394">
        <v>6952</v>
      </c>
      <c r="B394" s="342">
        <v>35530</v>
      </c>
      <c r="C394" t="s">
        <v>439</v>
      </c>
      <c r="D394">
        <v>0</v>
      </c>
      <c r="E394">
        <v>0</v>
      </c>
      <c r="F394">
        <v>0</v>
      </c>
      <c r="G394">
        <v>0</v>
      </c>
      <c r="H394">
        <v>0</v>
      </c>
      <c r="I394">
        <v>0</v>
      </c>
      <c r="J394">
        <v>0</v>
      </c>
      <c r="K394">
        <v>0</v>
      </c>
      <c r="L394">
        <v>0</v>
      </c>
      <c r="M394">
        <v>0</v>
      </c>
      <c r="N394">
        <v>0</v>
      </c>
    </row>
    <row r="395" spans="1:14" ht="12.75" x14ac:dyDescent="0.2">
      <c r="A395">
        <v>6952</v>
      </c>
      <c r="B395" s="342">
        <v>35535</v>
      </c>
      <c r="C395" t="s">
        <v>440</v>
      </c>
      <c r="D395">
        <v>0</v>
      </c>
      <c r="E395">
        <v>5132.5200000000004</v>
      </c>
      <c r="F395">
        <v>6000</v>
      </c>
      <c r="G395">
        <v>5240.58</v>
      </c>
      <c r="H395">
        <v>5240.58</v>
      </c>
      <c r="I395">
        <v>6000</v>
      </c>
      <c r="J395">
        <v>0</v>
      </c>
      <c r="K395">
        <v>5132.5200000000004</v>
      </c>
      <c r="L395">
        <v>5252.78</v>
      </c>
      <c r="M395">
        <v>5252.78</v>
      </c>
      <c r="N395">
        <v>0</v>
      </c>
    </row>
    <row r="396" spans="1:14" ht="12.75" x14ac:dyDescent="0.2">
      <c r="A396">
        <v>6952</v>
      </c>
      <c r="B396" s="342">
        <v>35536</v>
      </c>
      <c r="C396" t="s">
        <v>1127</v>
      </c>
      <c r="D396">
        <v>12286.83</v>
      </c>
      <c r="E396">
        <v>69387.95</v>
      </c>
      <c r="F396">
        <v>66000</v>
      </c>
      <c r="G396">
        <v>72097.31</v>
      </c>
      <c r="H396">
        <v>72097.31</v>
      </c>
      <c r="I396">
        <v>66000</v>
      </c>
      <c r="J396">
        <v>12286.83</v>
      </c>
      <c r="K396">
        <v>69387.95</v>
      </c>
      <c r="L396">
        <v>72097.31</v>
      </c>
      <c r="M396">
        <v>72097.31</v>
      </c>
      <c r="N396">
        <v>0</v>
      </c>
    </row>
    <row r="397" spans="1:14" ht="12.75" x14ac:dyDescent="0.2">
      <c r="A397">
        <v>6952</v>
      </c>
      <c r="B397" s="342">
        <v>35540</v>
      </c>
      <c r="C397" t="s">
        <v>441</v>
      </c>
      <c r="D397">
        <v>0</v>
      </c>
      <c r="E397">
        <v>13596.87</v>
      </c>
      <c r="F397">
        <v>15000</v>
      </c>
      <c r="G397">
        <v>13591.25</v>
      </c>
      <c r="H397">
        <v>13591.25</v>
      </c>
      <c r="I397">
        <v>15000</v>
      </c>
      <c r="J397">
        <v>0</v>
      </c>
      <c r="K397">
        <v>14795.13</v>
      </c>
      <c r="L397">
        <v>13591.25</v>
      </c>
      <c r="M397">
        <v>13591.25</v>
      </c>
      <c r="N397">
        <v>0</v>
      </c>
    </row>
    <row r="398" spans="1:14" ht="12.75" x14ac:dyDescent="0.2">
      <c r="A398">
        <v>6952</v>
      </c>
      <c r="B398" s="342">
        <v>35545</v>
      </c>
      <c r="C398" t="s">
        <v>442</v>
      </c>
      <c r="D398">
        <v>0</v>
      </c>
      <c r="E398">
        <v>1163.18</v>
      </c>
      <c r="F398">
        <v>12000</v>
      </c>
      <c r="G398">
        <v>8465.2900000000009</v>
      </c>
      <c r="H398">
        <v>8465.2900000000009</v>
      </c>
      <c r="I398">
        <v>12000</v>
      </c>
      <c r="J398">
        <v>0</v>
      </c>
      <c r="K398">
        <v>1163.18</v>
      </c>
      <c r="L398">
        <v>8465.2900000000009</v>
      </c>
      <c r="M398">
        <v>8465.2900000000009</v>
      </c>
      <c r="N398">
        <v>0</v>
      </c>
    </row>
    <row r="399" spans="1:14" ht="12.75" x14ac:dyDescent="0.2">
      <c r="A399">
        <v>6952</v>
      </c>
      <c r="B399" s="342">
        <v>35550</v>
      </c>
      <c r="C399" t="s">
        <v>69</v>
      </c>
      <c r="D399">
        <v>904.04</v>
      </c>
      <c r="E399">
        <v>904.04</v>
      </c>
      <c r="F399">
        <v>5000</v>
      </c>
      <c r="G399">
        <v>6081.4</v>
      </c>
      <c r="H399">
        <v>6081.4</v>
      </c>
      <c r="I399">
        <v>5000</v>
      </c>
      <c r="J399">
        <v>904.04</v>
      </c>
      <c r="K399">
        <v>904.04</v>
      </c>
      <c r="L399">
        <v>6081.4</v>
      </c>
      <c r="M399">
        <v>6081.4</v>
      </c>
      <c r="N399">
        <v>0</v>
      </c>
    </row>
    <row r="400" spans="1:14" ht="12.75" x14ac:dyDescent="0.2">
      <c r="A400">
        <v>6952</v>
      </c>
      <c r="B400" s="342">
        <v>35555</v>
      </c>
      <c r="C400" t="s">
        <v>886</v>
      </c>
      <c r="D400">
        <v>0</v>
      </c>
      <c r="E400">
        <v>3159.58</v>
      </c>
      <c r="F400">
        <v>5000</v>
      </c>
      <c r="G400">
        <v>5482.12</v>
      </c>
      <c r="H400">
        <v>5482.12</v>
      </c>
      <c r="I400">
        <v>5000</v>
      </c>
      <c r="J400">
        <v>0</v>
      </c>
      <c r="K400">
        <v>3159.58</v>
      </c>
      <c r="L400">
        <v>5482.12</v>
      </c>
      <c r="M400">
        <v>5482.12</v>
      </c>
      <c r="N400">
        <v>0</v>
      </c>
    </row>
    <row r="401" spans="1:14" ht="12.75" x14ac:dyDescent="0.2">
      <c r="A401">
        <v>6952</v>
      </c>
      <c r="B401" s="342">
        <v>35600</v>
      </c>
      <c r="C401" t="s">
        <v>1280</v>
      </c>
      <c r="D401">
        <v>28.27</v>
      </c>
      <c r="E401">
        <v>127.06</v>
      </c>
      <c r="F401">
        <v>300</v>
      </c>
      <c r="G401">
        <v>241.1</v>
      </c>
      <c r="H401">
        <v>241.1</v>
      </c>
      <c r="I401">
        <v>300</v>
      </c>
      <c r="J401">
        <v>28.27</v>
      </c>
      <c r="K401">
        <v>127.06</v>
      </c>
      <c r="L401">
        <v>241.1</v>
      </c>
      <c r="M401">
        <v>241.1</v>
      </c>
      <c r="N401">
        <v>0</v>
      </c>
    </row>
    <row r="402" spans="1:14" ht="12.75" x14ac:dyDescent="0.2">
      <c r="A402">
        <v>6952</v>
      </c>
      <c r="B402" s="342">
        <v>35605</v>
      </c>
      <c r="C402" t="s">
        <v>443</v>
      </c>
      <c r="D402">
        <v>0</v>
      </c>
      <c r="E402">
        <v>0</v>
      </c>
      <c r="F402">
        <v>0</v>
      </c>
      <c r="G402">
        <v>0</v>
      </c>
      <c r="H402">
        <v>0</v>
      </c>
      <c r="I402">
        <v>0</v>
      </c>
      <c r="J402">
        <v>0</v>
      </c>
      <c r="K402">
        <v>0</v>
      </c>
      <c r="L402">
        <v>0</v>
      </c>
      <c r="M402">
        <v>0</v>
      </c>
      <c r="N402">
        <v>0</v>
      </c>
    </row>
    <row r="403" spans="1:14" ht="12.75" x14ac:dyDescent="0.2">
      <c r="A403">
        <v>6952</v>
      </c>
      <c r="B403" s="342">
        <v>35610</v>
      </c>
      <c r="C403" t="s">
        <v>337</v>
      </c>
      <c r="D403">
        <v>0</v>
      </c>
      <c r="E403">
        <v>0</v>
      </c>
      <c r="F403">
        <v>0</v>
      </c>
      <c r="G403">
        <v>0</v>
      </c>
      <c r="H403">
        <v>0</v>
      </c>
      <c r="I403">
        <v>0</v>
      </c>
      <c r="J403">
        <v>0</v>
      </c>
      <c r="K403">
        <v>0</v>
      </c>
      <c r="L403">
        <v>0</v>
      </c>
      <c r="M403">
        <v>0</v>
      </c>
      <c r="N403">
        <v>0</v>
      </c>
    </row>
    <row r="404" spans="1:14" ht="12.75" x14ac:dyDescent="0.2">
      <c r="A404">
        <v>6952</v>
      </c>
      <c r="B404" s="342">
        <v>35615</v>
      </c>
      <c r="C404" t="s">
        <v>382</v>
      </c>
      <c r="D404">
        <v>0</v>
      </c>
      <c r="E404">
        <v>0</v>
      </c>
      <c r="F404">
        <v>0</v>
      </c>
      <c r="G404">
        <v>0</v>
      </c>
      <c r="H404">
        <v>0</v>
      </c>
      <c r="I404">
        <v>0</v>
      </c>
      <c r="J404">
        <v>0</v>
      </c>
      <c r="K404">
        <v>0</v>
      </c>
      <c r="L404">
        <v>0</v>
      </c>
      <c r="M404">
        <v>0</v>
      </c>
      <c r="N404">
        <v>0</v>
      </c>
    </row>
    <row r="405" spans="1:14" ht="12.75" x14ac:dyDescent="0.2">
      <c r="A405">
        <v>6952</v>
      </c>
      <c r="B405" s="342">
        <v>35620</v>
      </c>
      <c r="C405" t="s">
        <v>1281</v>
      </c>
      <c r="D405">
        <v>0</v>
      </c>
      <c r="E405">
        <v>0</v>
      </c>
      <c r="F405">
        <v>0</v>
      </c>
      <c r="G405">
        <v>0</v>
      </c>
      <c r="H405">
        <v>0</v>
      </c>
      <c r="I405">
        <v>0</v>
      </c>
      <c r="J405">
        <v>0</v>
      </c>
      <c r="K405">
        <v>0</v>
      </c>
      <c r="L405">
        <v>0</v>
      </c>
      <c r="M405">
        <v>0</v>
      </c>
      <c r="N405">
        <v>0</v>
      </c>
    </row>
    <row r="406" spans="1:14" ht="12.75" x14ac:dyDescent="0.2">
      <c r="A406">
        <v>6952</v>
      </c>
      <c r="B406" s="342">
        <v>35625</v>
      </c>
      <c r="C406" t="s">
        <v>1282</v>
      </c>
      <c r="D406">
        <v>0</v>
      </c>
      <c r="E406">
        <v>193.5</v>
      </c>
      <c r="F406">
        <v>250</v>
      </c>
      <c r="G406">
        <v>220.5</v>
      </c>
      <c r="H406">
        <v>220.5</v>
      </c>
      <c r="I406">
        <v>250</v>
      </c>
      <c r="J406">
        <v>0</v>
      </c>
      <c r="K406">
        <v>193.5</v>
      </c>
      <c r="L406">
        <v>220.5</v>
      </c>
      <c r="M406">
        <v>220.5</v>
      </c>
      <c r="N406">
        <v>0</v>
      </c>
    </row>
    <row r="407" spans="1:14" ht="12.75" x14ac:dyDescent="0.2">
      <c r="A407">
        <v>6952</v>
      </c>
      <c r="B407" s="342">
        <v>35630</v>
      </c>
      <c r="C407" t="s">
        <v>1283</v>
      </c>
      <c r="D407">
        <v>70.709999999999994</v>
      </c>
      <c r="E407">
        <v>417.58</v>
      </c>
      <c r="F407">
        <v>700</v>
      </c>
      <c r="G407">
        <v>358.77</v>
      </c>
      <c r="H407">
        <v>358.77</v>
      </c>
      <c r="I407">
        <v>700</v>
      </c>
      <c r="J407">
        <v>70.709999999999994</v>
      </c>
      <c r="K407">
        <v>417.58</v>
      </c>
      <c r="L407">
        <v>358.77</v>
      </c>
      <c r="M407">
        <v>358.77</v>
      </c>
      <c r="N407">
        <v>0</v>
      </c>
    </row>
    <row r="408" spans="1:14" ht="12.75" x14ac:dyDescent="0.2">
      <c r="A408">
        <v>6952</v>
      </c>
      <c r="B408" s="342">
        <v>35635</v>
      </c>
      <c r="C408" t="s">
        <v>1284</v>
      </c>
      <c r="D408">
        <v>237.94</v>
      </c>
      <c r="E408">
        <v>1268.3699999999999</v>
      </c>
      <c r="F408">
        <v>750</v>
      </c>
      <c r="G408">
        <v>976.12</v>
      </c>
      <c r="H408">
        <v>976.12</v>
      </c>
      <c r="I408">
        <v>750</v>
      </c>
      <c r="J408">
        <v>237.94</v>
      </c>
      <c r="K408">
        <v>1268.3699999999999</v>
      </c>
      <c r="L408">
        <v>976.12</v>
      </c>
      <c r="M408">
        <v>976.12</v>
      </c>
      <c r="N408">
        <v>0</v>
      </c>
    </row>
    <row r="409" spans="1:14" ht="12.75" x14ac:dyDescent="0.2">
      <c r="A409">
        <v>6952</v>
      </c>
      <c r="B409" s="342">
        <v>35640</v>
      </c>
      <c r="C409" t="s">
        <v>1285</v>
      </c>
      <c r="D409">
        <v>0</v>
      </c>
      <c r="E409">
        <v>0</v>
      </c>
      <c r="F409">
        <v>0</v>
      </c>
      <c r="G409">
        <v>0</v>
      </c>
      <c r="H409">
        <v>0</v>
      </c>
      <c r="I409">
        <v>0</v>
      </c>
      <c r="J409">
        <v>0</v>
      </c>
      <c r="K409">
        <v>0</v>
      </c>
      <c r="L409">
        <v>0</v>
      </c>
      <c r="M409">
        <v>0</v>
      </c>
      <c r="N409">
        <v>0</v>
      </c>
    </row>
    <row r="410" spans="1:14" ht="12.75" x14ac:dyDescent="0.2">
      <c r="A410">
        <v>6952</v>
      </c>
      <c r="B410" s="342">
        <v>35645</v>
      </c>
      <c r="C410" t="s">
        <v>1286</v>
      </c>
      <c r="D410">
        <v>48.02</v>
      </c>
      <c r="E410">
        <v>234.12</v>
      </c>
      <c r="F410">
        <v>450</v>
      </c>
      <c r="G410">
        <v>293.45</v>
      </c>
      <c r="H410">
        <v>293.45</v>
      </c>
      <c r="I410">
        <v>450</v>
      </c>
      <c r="J410">
        <v>48.02</v>
      </c>
      <c r="K410">
        <v>234.12</v>
      </c>
      <c r="L410">
        <v>293.45</v>
      </c>
      <c r="M410">
        <v>293.45</v>
      </c>
      <c r="N410">
        <v>0</v>
      </c>
    </row>
    <row r="411" spans="1:14" ht="12.75" x14ac:dyDescent="0.2">
      <c r="A411">
        <v>6952</v>
      </c>
      <c r="B411" s="342">
        <v>35650</v>
      </c>
      <c r="C411" t="s">
        <v>1287</v>
      </c>
      <c r="D411">
        <v>0</v>
      </c>
      <c r="E411">
        <v>0</v>
      </c>
      <c r="F411">
        <v>0</v>
      </c>
      <c r="G411">
        <v>0</v>
      </c>
      <c r="H411">
        <v>0</v>
      </c>
      <c r="I411">
        <v>0</v>
      </c>
      <c r="J411">
        <v>0</v>
      </c>
      <c r="K411">
        <v>0</v>
      </c>
      <c r="L411">
        <v>0</v>
      </c>
      <c r="M411">
        <v>0</v>
      </c>
      <c r="N411">
        <v>0</v>
      </c>
    </row>
    <row r="412" spans="1:14" ht="12.75" x14ac:dyDescent="0.2">
      <c r="A412">
        <v>6952</v>
      </c>
      <c r="B412" s="342">
        <v>35660</v>
      </c>
      <c r="C412" t="s">
        <v>1288</v>
      </c>
      <c r="D412">
        <v>293.64999999999998</v>
      </c>
      <c r="E412">
        <v>803.5</v>
      </c>
      <c r="F412">
        <v>1000</v>
      </c>
      <c r="G412">
        <v>1260.3900000000001</v>
      </c>
      <c r="H412">
        <v>1260.3900000000001</v>
      </c>
      <c r="I412">
        <v>1000</v>
      </c>
      <c r="J412">
        <v>293.64999999999998</v>
      </c>
      <c r="K412">
        <v>803.5</v>
      </c>
      <c r="L412">
        <v>1260.3900000000001</v>
      </c>
      <c r="M412">
        <v>1260.3900000000001</v>
      </c>
      <c r="N412">
        <v>0</v>
      </c>
    </row>
    <row r="413" spans="1:14" ht="12.75" x14ac:dyDescent="0.2">
      <c r="A413">
        <v>6952</v>
      </c>
      <c r="B413" s="342">
        <v>35665</v>
      </c>
      <c r="C413" t="s">
        <v>1289</v>
      </c>
      <c r="D413">
        <v>68.69</v>
      </c>
      <c r="E413">
        <v>203.74</v>
      </c>
      <c r="F413">
        <v>200</v>
      </c>
      <c r="G413">
        <v>146.38</v>
      </c>
      <c r="H413">
        <v>146.38</v>
      </c>
      <c r="I413">
        <v>200</v>
      </c>
      <c r="J413">
        <v>68.69</v>
      </c>
      <c r="K413">
        <v>203.74</v>
      </c>
      <c r="L413">
        <v>146.38</v>
      </c>
      <c r="M413">
        <v>146.38</v>
      </c>
      <c r="N413">
        <v>0</v>
      </c>
    </row>
    <row r="414" spans="1:14" ht="12.75" x14ac:dyDescent="0.2">
      <c r="A414">
        <v>6952</v>
      </c>
      <c r="B414" s="342">
        <v>35700</v>
      </c>
      <c r="C414" t="s">
        <v>329</v>
      </c>
      <c r="D414">
        <v>5838.54</v>
      </c>
      <c r="E414">
        <v>32355.599999999999</v>
      </c>
      <c r="F414">
        <v>31180</v>
      </c>
      <c r="G414">
        <v>31492.65</v>
      </c>
      <c r="H414">
        <v>31492.65</v>
      </c>
      <c r="I414">
        <v>31180</v>
      </c>
      <c r="J414">
        <v>5838.54</v>
      </c>
      <c r="K414">
        <v>32355.599999999999</v>
      </c>
      <c r="L414">
        <v>31492.65</v>
      </c>
      <c r="M414">
        <v>31492.65</v>
      </c>
      <c r="N414">
        <v>0</v>
      </c>
    </row>
    <row r="415" spans="1:14" ht="12.75" x14ac:dyDescent="0.2">
      <c r="A415">
        <v>6952</v>
      </c>
      <c r="B415" s="342">
        <v>35702</v>
      </c>
      <c r="C415" t="s">
        <v>406</v>
      </c>
      <c r="D415">
        <v>0</v>
      </c>
      <c r="E415">
        <v>27.83</v>
      </c>
      <c r="F415">
        <v>0</v>
      </c>
      <c r="G415">
        <v>27.83</v>
      </c>
      <c r="H415">
        <v>27.83</v>
      </c>
      <c r="I415">
        <v>0</v>
      </c>
      <c r="J415">
        <v>0</v>
      </c>
      <c r="K415">
        <v>27.83</v>
      </c>
      <c r="L415">
        <v>27.83</v>
      </c>
      <c r="M415">
        <v>27.83</v>
      </c>
      <c r="N415">
        <v>0</v>
      </c>
    </row>
    <row r="416" spans="1:14" ht="12.75" x14ac:dyDescent="0.2">
      <c r="A416">
        <v>6952</v>
      </c>
      <c r="B416" s="342">
        <v>35705</v>
      </c>
      <c r="C416" t="s">
        <v>372</v>
      </c>
      <c r="D416">
        <v>0</v>
      </c>
      <c r="E416">
        <v>1191.07</v>
      </c>
      <c r="F416">
        <v>750</v>
      </c>
      <c r="G416">
        <v>537.79</v>
      </c>
      <c r="H416">
        <v>537.79</v>
      </c>
      <c r="I416">
        <v>750</v>
      </c>
      <c r="J416">
        <v>0</v>
      </c>
      <c r="K416">
        <v>1191.07</v>
      </c>
      <c r="L416">
        <v>537.79</v>
      </c>
      <c r="M416">
        <v>537.79</v>
      </c>
      <c r="N416">
        <v>0</v>
      </c>
    </row>
    <row r="417" spans="1:14" ht="12.75" x14ac:dyDescent="0.2">
      <c r="A417">
        <v>6952</v>
      </c>
      <c r="B417" s="342">
        <v>35710</v>
      </c>
      <c r="C417" t="s">
        <v>276</v>
      </c>
      <c r="D417">
        <v>229.85</v>
      </c>
      <c r="E417">
        <v>1539.07</v>
      </c>
      <c r="F417">
        <v>1000</v>
      </c>
      <c r="G417">
        <v>1119.46</v>
      </c>
      <c r="H417">
        <v>1119.46</v>
      </c>
      <c r="I417">
        <v>1000</v>
      </c>
      <c r="J417">
        <v>229.85</v>
      </c>
      <c r="K417">
        <v>1539.07</v>
      </c>
      <c r="L417">
        <v>1119.46</v>
      </c>
      <c r="M417">
        <v>1119.46</v>
      </c>
      <c r="N417">
        <v>0</v>
      </c>
    </row>
    <row r="418" spans="1:14" ht="12.75" x14ac:dyDescent="0.2">
      <c r="A418">
        <v>6952</v>
      </c>
      <c r="B418" s="342">
        <v>35715</v>
      </c>
      <c r="C418" t="s">
        <v>50</v>
      </c>
      <c r="D418">
        <v>0</v>
      </c>
      <c r="E418">
        <v>0</v>
      </c>
      <c r="F418">
        <v>0</v>
      </c>
      <c r="G418">
        <v>0</v>
      </c>
      <c r="H418">
        <v>0</v>
      </c>
      <c r="I418">
        <v>0</v>
      </c>
      <c r="J418">
        <v>0</v>
      </c>
      <c r="K418">
        <v>0</v>
      </c>
      <c r="L418">
        <v>0</v>
      </c>
      <c r="M418">
        <v>0</v>
      </c>
      <c r="N418">
        <v>0</v>
      </c>
    </row>
    <row r="419" spans="1:14" ht="12.75" x14ac:dyDescent="0.2">
      <c r="A419">
        <v>6952</v>
      </c>
      <c r="B419" s="342">
        <v>35720</v>
      </c>
      <c r="C419" t="s">
        <v>333</v>
      </c>
      <c r="D419">
        <v>85.97</v>
      </c>
      <c r="E419">
        <v>1781.09</v>
      </c>
      <c r="F419">
        <v>3000</v>
      </c>
      <c r="G419">
        <v>2093.8000000000002</v>
      </c>
      <c r="H419">
        <v>2093.8000000000002</v>
      </c>
      <c r="I419">
        <v>3000</v>
      </c>
      <c r="J419">
        <v>85.97</v>
      </c>
      <c r="K419">
        <v>1781.09</v>
      </c>
      <c r="L419">
        <v>2093.8000000000002</v>
      </c>
      <c r="M419">
        <v>2093.8000000000002</v>
      </c>
      <c r="N419">
        <v>0</v>
      </c>
    </row>
    <row r="420" spans="1:14" ht="12.75" x14ac:dyDescent="0.2">
      <c r="A420">
        <v>6952</v>
      </c>
      <c r="B420" s="342">
        <v>35800</v>
      </c>
      <c r="C420" t="s">
        <v>70</v>
      </c>
      <c r="D420">
        <v>5843.48</v>
      </c>
      <c r="E420">
        <v>40121.760000000002</v>
      </c>
      <c r="F420">
        <v>44600</v>
      </c>
      <c r="G420">
        <v>41678.28</v>
      </c>
      <c r="H420">
        <v>41678.28</v>
      </c>
      <c r="I420">
        <v>44600</v>
      </c>
      <c r="J420">
        <v>5843.48</v>
      </c>
      <c r="K420">
        <v>70121.759999999995</v>
      </c>
      <c r="L420">
        <v>47278.28</v>
      </c>
      <c r="M420">
        <v>47278.28</v>
      </c>
      <c r="N420">
        <v>0</v>
      </c>
    </row>
    <row r="421" spans="1:14" ht="12.75" x14ac:dyDescent="0.2">
      <c r="A421">
        <v>6952</v>
      </c>
      <c r="B421" s="342">
        <v>35801</v>
      </c>
      <c r="C421" t="s">
        <v>71</v>
      </c>
      <c r="D421">
        <v>1014.13</v>
      </c>
      <c r="E421">
        <v>6665.13</v>
      </c>
      <c r="F421">
        <v>9300</v>
      </c>
      <c r="G421">
        <v>8570.9500000000007</v>
      </c>
      <c r="H421">
        <v>8570.9500000000007</v>
      </c>
      <c r="I421">
        <v>9300</v>
      </c>
      <c r="J421">
        <v>1014.13</v>
      </c>
      <c r="K421">
        <v>6665.13</v>
      </c>
      <c r="L421">
        <v>8570.9500000000007</v>
      </c>
      <c r="M421">
        <v>8570.9500000000007</v>
      </c>
      <c r="N421">
        <v>0</v>
      </c>
    </row>
    <row r="422" spans="1:14" ht="12.75" x14ac:dyDescent="0.2">
      <c r="A422">
        <v>6952</v>
      </c>
      <c r="B422" s="342">
        <v>35805</v>
      </c>
      <c r="C422" t="s">
        <v>448</v>
      </c>
      <c r="D422">
        <v>0</v>
      </c>
      <c r="E422">
        <v>0</v>
      </c>
      <c r="F422">
        <v>150</v>
      </c>
      <c r="G422">
        <v>150</v>
      </c>
      <c r="H422">
        <v>150</v>
      </c>
      <c r="I422">
        <v>150</v>
      </c>
      <c r="J422">
        <v>0</v>
      </c>
      <c r="K422">
        <v>0</v>
      </c>
      <c r="L422">
        <v>150</v>
      </c>
      <c r="M422">
        <v>150</v>
      </c>
      <c r="N422">
        <v>0</v>
      </c>
    </row>
    <row r="423" spans="1:14" ht="12.75" x14ac:dyDescent="0.2">
      <c r="A423">
        <v>6952</v>
      </c>
      <c r="B423" s="342">
        <v>35810</v>
      </c>
      <c r="C423" t="s">
        <v>72</v>
      </c>
      <c r="D423">
        <v>389.27</v>
      </c>
      <c r="E423">
        <v>389.27</v>
      </c>
      <c r="F423">
        <v>1500</v>
      </c>
      <c r="G423">
        <v>542.67999999999995</v>
      </c>
      <c r="H423">
        <v>542.67999999999995</v>
      </c>
      <c r="I423">
        <v>1500</v>
      </c>
      <c r="J423">
        <v>389.27</v>
      </c>
      <c r="K423">
        <v>389.27</v>
      </c>
      <c r="L423">
        <v>542.67999999999995</v>
      </c>
      <c r="M423">
        <v>542.67999999999995</v>
      </c>
      <c r="N423">
        <v>0</v>
      </c>
    </row>
    <row r="424" spans="1:14" ht="12.75" x14ac:dyDescent="0.2">
      <c r="A424">
        <v>6952</v>
      </c>
      <c r="B424" s="342">
        <v>35830</v>
      </c>
      <c r="C424" t="s">
        <v>73</v>
      </c>
      <c r="D424">
        <v>0</v>
      </c>
      <c r="E424">
        <v>0</v>
      </c>
      <c r="F424">
        <v>500</v>
      </c>
      <c r="G424">
        <v>0</v>
      </c>
      <c r="H424">
        <v>0</v>
      </c>
      <c r="I424">
        <v>500</v>
      </c>
      <c r="J424">
        <v>0</v>
      </c>
      <c r="K424">
        <v>0</v>
      </c>
      <c r="L424">
        <v>0</v>
      </c>
      <c r="M424">
        <v>0</v>
      </c>
      <c r="N424">
        <v>0</v>
      </c>
    </row>
    <row r="425" spans="1:14" ht="12.75" x14ac:dyDescent="0.2">
      <c r="A425">
        <v>6952</v>
      </c>
      <c r="B425" s="342">
        <v>35840</v>
      </c>
      <c r="C425" t="s">
        <v>74</v>
      </c>
      <c r="D425">
        <v>0</v>
      </c>
      <c r="E425">
        <v>116.86</v>
      </c>
      <c r="F425">
        <v>300</v>
      </c>
      <c r="G425">
        <v>550.77</v>
      </c>
      <c r="H425">
        <v>550.77</v>
      </c>
      <c r="I425">
        <v>300</v>
      </c>
      <c r="J425">
        <v>0</v>
      </c>
      <c r="K425">
        <v>116.86</v>
      </c>
      <c r="L425">
        <v>620.34</v>
      </c>
      <c r="M425">
        <v>620.34</v>
      </c>
      <c r="N425">
        <v>0</v>
      </c>
    </row>
    <row r="426" spans="1:14" ht="12.75" x14ac:dyDescent="0.2">
      <c r="A426">
        <v>6952</v>
      </c>
      <c r="B426" s="342">
        <v>35850</v>
      </c>
      <c r="C426" t="s">
        <v>449</v>
      </c>
      <c r="D426">
        <v>0</v>
      </c>
      <c r="E426">
        <v>0</v>
      </c>
      <c r="F426">
        <v>0</v>
      </c>
      <c r="G426">
        <v>0</v>
      </c>
      <c r="H426">
        <v>0</v>
      </c>
      <c r="I426">
        <v>0</v>
      </c>
      <c r="J426">
        <v>0</v>
      </c>
      <c r="K426">
        <v>0</v>
      </c>
      <c r="L426">
        <v>0</v>
      </c>
      <c r="M426">
        <v>0</v>
      </c>
      <c r="N426">
        <v>0</v>
      </c>
    </row>
    <row r="427" spans="1:14" ht="12.75" x14ac:dyDescent="0.2">
      <c r="A427">
        <v>6952</v>
      </c>
      <c r="B427" s="342">
        <v>35855</v>
      </c>
      <c r="C427" t="s">
        <v>313</v>
      </c>
      <c r="D427">
        <v>30.2</v>
      </c>
      <c r="E427">
        <v>66.25</v>
      </c>
      <c r="F427">
        <v>120</v>
      </c>
      <c r="G427">
        <v>0</v>
      </c>
      <c r="H427">
        <v>0</v>
      </c>
      <c r="I427">
        <v>120</v>
      </c>
      <c r="J427">
        <v>30.2</v>
      </c>
      <c r="K427">
        <v>66.25</v>
      </c>
      <c r="L427">
        <v>0</v>
      </c>
      <c r="M427">
        <v>0</v>
      </c>
      <c r="N427">
        <v>0</v>
      </c>
    </row>
    <row r="428" spans="1:14" ht="12.75" x14ac:dyDescent="0.2">
      <c r="A428">
        <v>6952</v>
      </c>
      <c r="B428" s="342">
        <v>35860</v>
      </c>
      <c r="C428" t="s">
        <v>319</v>
      </c>
      <c r="D428">
        <v>0</v>
      </c>
      <c r="E428">
        <v>0</v>
      </c>
      <c r="F428">
        <v>50</v>
      </c>
      <c r="G428">
        <v>20.260000000000002</v>
      </c>
      <c r="H428">
        <v>20.260000000000002</v>
      </c>
      <c r="I428">
        <v>50</v>
      </c>
      <c r="J428">
        <v>0</v>
      </c>
      <c r="K428">
        <v>0</v>
      </c>
      <c r="L428">
        <v>20.260000000000002</v>
      </c>
      <c r="M428">
        <v>20.260000000000002</v>
      </c>
      <c r="N428">
        <v>0</v>
      </c>
    </row>
    <row r="429" spans="1:14" ht="12.75" x14ac:dyDescent="0.2">
      <c r="A429">
        <v>6952</v>
      </c>
      <c r="B429" s="342">
        <v>35865</v>
      </c>
      <c r="C429" t="s">
        <v>450</v>
      </c>
      <c r="D429">
        <v>0</v>
      </c>
      <c r="E429">
        <v>0</v>
      </c>
      <c r="F429">
        <v>50</v>
      </c>
      <c r="G429">
        <v>0</v>
      </c>
      <c r="H429">
        <v>0</v>
      </c>
      <c r="I429">
        <v>50</v>
      </c>
      <c r="J429">
        <v>0</v>
      </c>
      <c r="K429">
        <v>0</v>
      </c>
      <c r="L429">
        <v>0</v>
      </c>
      <c r="M429">
        <v>0</v>
      </c>
      <c r="N429">
        <v>0</v>
      </c>
    </row>
    <row r="430" spans="1:14" ht="12.75" x14ac:dyDescent="0.2">
      <c r="A430">
        <v>6952</v>
      </c>
      <c r="B430" s="342">
        <v>35870</v>
      </c>
      <c r="C430" t="s">
        <v>451</v>
      </c>
      <c r="D430">
        <v>0</v>
      </c>
      <c r="E430">
        <v>0</v>
      </c>
      <c r="F430">
        <v>0</v>
      </c>
      <c r="G430">
        <v>0</v>
      </c>
      <c r="H430">
        <v>0</v>
      </c>
      <c r="I430">
        <v>0</v>
      </c>
      <c r="J430">
        <v>0</v>
      </c>
      <c r="K430">
        <v>0</v>
      </c>
      <c r="L430">
        <v>0</v>
      </c>
      <c r="M430">
        <v>0</v>
      </c>
      <c r="N430">
        <v>0</v>
      </c>
    </row>
    <row r="431" spans="1:14" ht="12.75" x14ac:dyDescent="0.2">
      <c r="A431">
        <v>6952</v>
      </c>
      <c r="B431" s="342">
        <v>35875</v>
      </c>
      <c r="C431" t="s">
        <v>452</v>
      </c>
      <c r="D431">
        <v>108.78</v>
      </c>
      <c r="E431">
        <v>176.84</v>
      </c>
      <c r="F431">
        <v>4200</v>
      </c>
      <c r="G431">
        <v>40.020000000000003</v>
      </c>
      <c r="H431">
        <v>40.020000000000003</v>
      </c>
      <c r="I431">
        <v>4200</v>
      </c>
      <c r="J431">
        <v>108.78</v>
      </c>
      <c r="K431">
        <v>176.84</v>
      </c>
      <c r="L431">
        <v>40.020000000000003</v>
      </c>
      <c r="M431">
        <v>40.020000000000003</v>
      </c>
      <c r="N431">
        <v>0</v>
      </c>
    </row>
    <row r="432" spans="1:14" ht="12.75" x14ac:dyDescent="0.2">
      <c r="A432">
        <v>6952</v>
      </c>
      <c r="B432" s="342">
        <v>35900</v>
      </c>
      <c r="C432" t="s">
        <v>453</v>
      </c>
      <c r="D432">
        <v>0</v>
      </c>
      <c r="E432">
        <v>0</v>
      </c>
      <c r="F432">
        <v>0</v>
      </c>
      <c r="G432">
        <v>0</v>
      </c>
      <c r="H432">
        <v>0</v>
      </c>
      <c r="I432">
        <v>0</v>
      </c>
      <c r="J432">
        <v>0</v>
      </c>
      <c r="K432">
        <v>0</v>
      </c>
      <c r="L432">
        <v>0</v>
      </c>
      <c r="M432">
        <v>0</v>
      </c>
      <c r="N432">
        <v>0</v>
      </c>
    </row>
    <row r="433" spans="1:14" ht="12.75" x14ac:dyDescent="0.2">
      <c r="A433">
        <v>6952</v>
      </c>
      <c r="B433" s="342">
        <v>35910</v>
      </c>
      <c r="C433" t="s">
        <v>454</v>
      </c>
      <c r="D433">
        <v>0</v>
      </c>
      <c r="E433">
        <v>37.200000000000003</v>
      </c>
      <c r="F433">
        <v>0</v>
      </c>
      <c r="G433">
        <v>0</v>
      </c>
      <c r="H433">
        <v>0</v>
      </c>
      <c r="I433">
        <v>0</v>
      </c>
      <c r="J433">
        <v>0</v>
      </c>
      <c r="K433">
        <v>37.200000000000003</v>
      </c>
      <c r="L433">
        <v>0</v>
      </c>
      <c r="M433">
        <v>0</v>
      </c>
      <c r="N433">
        <v>0</v>
      </c>
    </row>
    <row r="434" spans="1:14" ht="12.75" x14ac:dyDescent="0.2">
      <c r="A434">
        <v>6952</v>
      </c>
      <c r="B434" s="342">
        <v>35920</v>
      </c>
      <c r="C434" t="s">
        <v>455</v>
      </c>
      <c r="D434">
        <v>0</v>
      </c>
      <c r="E434">
        <v>0</v>
      </c>
      <c r="F434">
        <v>0</v>
      </c>
      <c r="G434">
        <v>0</v>
      </c>
      <c r="H434">
        <v>0</v>
      </c>
      <c r="I434">
        <v>0</v>
      </c>
      <c r="J434">
        <v>0</v>
      </c>
      <c r="K434">
        <v>0</v>
      </c>
      <c r="L434">
        <v>0</v>
      </c>
      <c r="M434">
        <v>0</v>
      </c>
      <c r="N434">
        <v>0</v>
      </c>
    </row>
    <row r="435" spans="1:14" ht="12.75" x14ac:dyDescent="0.2">
      <c r="A435">
        <v>6952</v>
      </c>
      <c r="B435" s="342">
        <v>35930</v>
      </c>
      <c r="C435" t="s">
        <v>456</v>
      </c>
      <c r="D435">
        <v>0</v>
      </c>
      <c r="E435">
        <v>0</v>
      </c>
      <c r="F435">
        <v>0</v>
      </c>
      <c r="G435">
        <v>0</v>
      </c>
      <c r="H435">
        <v>0</v>
      </c>
      <c r="I435">
        <v>0</v>
      </c>
      <c r="J435">
        <v>0</v>
      </c>
      <c r="K435">
        <v>0</v>
      </c>
      <c r="L435">
        <v>0</v>
      </c>
      <c r="M435">
        <v>0</v>
      </c>
      <c r="N435">
        <v>0</v>
      </c>
    </row>
    <row r="436" spans="1:14" ht="12.75" x14ac:dyDescent="0.2">
      <c r="A436">
        <v>6952</v>
      </c>
      <c r="B436" s="342">
        <v>35940</v>
      </c>
      <c r="C436" t="s">
        <v>457</v>
      </c>
      <c r="D436">
        <v>0</v>
      </c>
      <c r="E436">
        <v>409.95</v>
      </c>
      <c r="F436">
        <v>0</v>
      </c>
      <c r="G436">
        <v>0</v>
      </c>
      <c r="H436">
        <v>0</v>
      </c>
      <c r="I436">
        <v>0</v>
      </c>
      <c r="J436">
        <v>0</v>
      </c>
      <c r="K436">
        <v>409.95</v>
      </c>
      <c r="L436">
        <v>0</v>
      </c>
      <c r="M436">
        <v>0</v>
      </c>
      <c r="N436">
        <v>0</v>
      </c>
    </row>
    <row r="437" spans="1:14" ht="12.75" x14ac:dyDescent="0.2">
      <c r="A437">
        <v>6952</v>
      </c>
      <c r="B437" s="342">
        <v>35960</v>
      </c>
      <c r="C437" t="s">
        <v>458</v>
      </c>
      <c r="D437">
        <v>0</v>
      </c>
      <c r="E437">
        <v>0</v>
      </c>
      <c r="F437">
        <v>0</v>
      </c>
      <c r="G437">
        <v>0</v>
      </c>
      <c r="H437">
        <v>0</v>
      </c>
      <c r="I437">
        <v>0</v>
      </c>
      <c r="J437">
        <v>0</v>
      </c>
      <c r="K437">
        <v>0</v>
      </c>
      <c r="L437">
        <v>0</v>
      </c>
      <c r="M437">
        <v>0</v>
      </c>
      <c r="N437">
        <v>0</v>
      </c>
    </row>
    <row r="438" spans="1:14" ht="12.75" x14ac:dyDescent="0.2">
      <c r="A438">
        <v>6952</v>
      </c>
      <c r="B438" s="342">
        <v>35970</v>
      </c>
      <c r="C438" t="s">
        <v>459</v>
      </c>
      <c r="D438">
        <v>0</v>
      </c>
      <c r="E438">
        <v>0</v>
      </c>
      <c r="F438">
        <v>0</v>
      </c>
      <c r="G438">
        <v>0</v>
      </c>
      <c r="H438">
        <v>0</v>
      </c>
      <c r="I438">
        <v>0</v>
      </c>
      <c r="J438">
        <v>0</v>
      </c>
      <c r="K438">
        <v>0</v>
      </c>
      <c r="L438">
        <v>0</v>
      </c>
      <c r="M438">
        <v>0</v>
      </c>
      <c r="N438">
        <v>0</v>
      </c>
    </row>
    <row r="439" spans="1:14" ht="12.75" x14ac:dyDescent="0.2">
      <c r="A439">
        <v>6952</v>
      </c>
      <c r="B439" s="342">
        <v>35980</v>
      </c>
      <c r="C439" t="s">
        <v>460</v>
      </c>
      <c r="D439">
        <v>0</v>
      </c>
      <c r="E439">
        <v>0</v>
      </c>
      <c r="F439">
        <v>0</v>
      </c>
      <c r="G439">
        <v>0</v>
      </c>
      <c r="H439">
        <v>0</v>
      </c>
      <c r="I439">
        <v>0</v>
      </c>
      <c r="J439">
        <v>0</v>
      </c>
      <c r="K439">
        <v>0</v>
      </c>
      <c r="L439">
        <v>0</v>
      </c>
      <c r="M439">
        <v>0</v>
      </c>
      <c r="N439">
        <v>0</v>
      </c>
    </row>
    <row r="440" spans="1:14" ht="12.75" x14ac:dyDescent="0.2">
      <c r="A440">
        <v>6952</v>
      </c>
      <c r="B440">
        <v>36000</v>
      </c>
      <c r="C440" t="s">
        <v>1290</v>
      </c>
      <c r="D440">
        <v>0</v>
      </c>
      <c r="E440">
        <v>0</v>
      </c>
      <c r="F440">
        <v>0</v>
      </c>
      <c r="G440">
        <v>0</v>
      </c>
      <c r="H440">
        <v>0</v>
      </c>
      <c r="I440">
        <v>0</v>
      </c>
      <c r="J440">
        <v>0</v>
      </c>
      <c r="K440">
        <v>0</v>
      </c>
      <c r="L440">
        <v>0</v>
      </c>
      <c r="M440">
        <v>0</v>
      </c>
      <c r="N440">
        <v>0</v>
      </c>
    </row>
    <row r="441" spans="1:14" ht="12.75" x14ac:dyDescent="0.2">
      <c r="A441">
        <v>6952</v>
      </c>
      <c r="B441" s="342">
        <v>36001</v>
      </c>
      <c r="C441" t="s">
        <v>1291</v>
      </c>
      <c r="D441">
        <v>0</v>
      </c>
      <c r="E441">
        <v>128.52000000000001</v>
      </c>
      <c r="F441">
        <v>500</v>
      </c>
      <c r="G441">
        <v>0</v>
      </c>
      <c r="H441">
        <v>0</v>
      </c>
      <c r="I441">
        <v>500</v>
      </c>
      <c r="J441">
        <v>0</v>
      </c>
      <c r="K441">
        <v>128.52000000000001</v>
      </c>
      <c r="L441">
        <v>0</v>
      </c>
      <c r="M441">
        <v>0</v>
      </c>
      <c r="N441">
        <v>0</v>
      </c>
    </row>
    <row r="442" spans="1:14" ht="12.75" x14ac:dyDescent="0.2">
      <c r="A442">
        <v>6952</v>
      </c>
      <c r="B442" s="342">
        <v>36002</v>
      </c>
      <c r="C442" t="s">
        <v>1292</v>
      </c>
      <c r="D442">
        <v>36.43</v>
      </c>
      <c r="E442">
        <v>729.69</v>
      </c>
      <c r="F442">
        <v>400</v>
      </c>
      <c r="G442">
        <v>133.02000000000001</v>
      </c>
      <c r="H442">
        <v>133.02000000000001</v>
      </c>
      <c r="I442">
        <v>400</v>
      </c>
      <c r="J442">
        <v>36.43</v>
      </c>
      <c r="K442">
        <v>729.69</v>
      </c>
      <c r="L442">
        <v>133.02000000000001</v>
      </c>
      <c r="M442">
        <v>133.02000000000001</v>
      </c>
      <c r="N442">
        <v>0</v>
      </c>
    </row>
    <row r="443" spans="1:14" ht="12.75" x14ac:dyDescent="0.2">
      <c r="A443">
        <v>6952</v>
      </c>
      <c r="B443" s="342">
        <v>36003</v>
      </c>
      <c r="C443" t="s">
        <v>1293</v>
      </c>
      <c r="D443">
        <v>201.3</v>
      </c>
      <c r="E443">
        <v>201.3</v>
      </c>
      <c r="F443">
        <v>250</v>
      </c>
      <c r="G443">
        <v>175</v>
      </c>
      <c r="H443">
        <v>175</v>
      </c>
      <c r="I443">
        <v>250</v>
      </c>
      <c r="J443">
        <v>201.3</v>
      </c>
      <c r="K443">
        <v>201.3</v>
      </c>
      <c r="L443">
        <v>175</v>
      </c>
      <c r="M443">
        <v>175</v>
      </c>
      <c r="N443">
        <v>0</v>
      </c>
    </row>
    <row r="444" spans="1:14" ht="12.75" x14ac:dyDescent="0.2">
      <c r="A444">
        <v>6952</v>
      </c>
      <c r="B444" s="342">
        <v>36004</v>
      </c>
      <c r="C444" t="s">
        <v>1294</v>
      </c>
      <c r="D444">
        <v>0</v>
      </c>
      <c r="E444">
        <v>768.04</v>
      </c>
      <c r="F444">
        <v>750</v>
      </c>
      <c r="G444">
        <v>566.4</v>
      </c>
      <c r="H444">
        <v>566.4</v>
      </c>
      <c r="I444">
        <v>750</v>
      </c>
      <c r="J444">
        <v>0</v>
      </c>
      <c r="K444">
        <v>768.04</v>
      </c>
      <c r="L444">
        <v>566.4</v>
      </c>
      <c r="M444">
        <v>566.4</v>
      </c>
      <c r="N444">
        <v>0</v>
      </c>
    </row>
    <row r="445" spans="1:14" ht="12.75" x14ac:dyDescent="0.2">
      <c r="A445">
        <v>6952</v>
      </c>
      <c r="B445" s="342">
        <v>36005</v>
      </c>
      <c r="C445" t="s">
        <v>1042</v>
      </c>
      <c r="D445">
        <v>4197.3900000000003</v>
      </c>
      <c r="E445">
        <v>28487.94</v>
      </c>
      <c r="F445">
        <v>35000</v>
      </c>
      <c r="G445">
        <v>5748.78</v>
      </c>
      <c r="H445">
        <v>5748.78</v>
      </c>
      <c r="I445">
        <v>35000</v>
      </c>
      <c r="J445">
        <v>4197.3900000000003</v>
      </c>
      <c r="K445">
        <v>29127.07</v>
      </c>
      <c r="L445">
        <v>6093.33</v>
      </c>
      <c r="M445">
        <v>6093.33</v>
      </c>
      <c r="N445">
        <v>0</v>
      </c>
    </row>
    <row r="446" spans="1:14" ht="12.75" x14ac:dyDescent="0.2">
      <c r="A446">
        <v>6952</v>
      </c>
      <c r="B446" s="342">
        <v>36006</v>
      </c>
      <c r="C446" t="s">
        <v>1043</v>
      </c>
      <c r="D446">
        <v>1025.32</v>
      </c>
      <c r="E446">
        <v>5556.11</v>
      </c>
      <c r="F446">
        <v>6300</v>
      </c>
      <c r="G446">
        <v>2683.31</v>
      </c>
      <c r="H446">
        <v>2683.31</v>
      </c>
      <c r="I446">
        <v>6300</v>
      </c>
      <c r="J446">
        <v>1025.32</v>
      </c>
      <c r="K446">
        <v>5556.11</v>
      </c>
      <c r="L446">
        <v>2683.31</v>
      </c>
      <c r="M446">
        <v>2683.31</v>
      </c>
      <c r="N446">
        <v>0</v>
      </c>
    </row>
    <row r="447" spans="1:14" ht="12.75" x14ac:dyDescent="0.2">
      <c r="A447">
        <v>6952</v>
      </c>
      <c r="B447" s="342">
        <v>36007</v>
      </c>
      <c r="C447" t="s">
        <v>1295</v>
      </c>
      <c r="D447">
        <v>0</v>
      </c>
      <c r="E447">
        <v>0</v>
      </c>
      <c r="F447">
        <v>0</v>
      </c>
      <c r="G447">
        <v>0</v>
      </c>
      <c r="H447">
        <v>0</v>
      </c>
      <c r="I447">
        <v>0</v>
      </c>
      <c r="J447">
        <v>0</v>
      </c>
      <c r="K447">
        <v>0</v>
      </c>
      <c r="L447">
        <v>0</v>
      </c>
      <c r="M447">
        <v>0</v>
      </c>
      <c r="N447">
        <v>0</v>
      </c>
    </row>
    <row r="448" spans="1:14" ht="12.75" x14ac:dyDescent="0.2">
      <c r="A448">
        <v>6952</v>
      </c>
      <c r="B448" s="342">
        <v>36008</v>
      </c>
      <c r="C448" t="s">
        <v>1296</v>
      </c>
      <c r="D448">
        <v>996.93</v>
      </c>
      <c r="E448">
        <v>3171.33</v>
      </c>
      <c r="F448">
        <v>7900</v>
      </c>
      <c r="G448">
        <v>37465.230000000003</v>
      </c>
      <c r="H448">
        <v>37465.230000000003</v>
      </c>
      <c r="I448">
        <v>7900</v>
      </c>
      <c r="J448">
        <v>996.93</v>
      </c>
      <c r="K448">
        <v>3171.33</v>
      </c>
      <c r="L448">
        <v>37465.230000000003</v>
      </c>
      <c r="M448">
        <v>37465.230000000003</v>
      </c>
      <c r="N448">
        <v>0</v>
      </c>
    </row>
    <row r="449" spans="1:14" ht="12.75" x14ac:dyDescent="0.2">
      <c r="A449">
        <v>6952</v>
      </c>
      <c r="B449" s="342">
        <v>36009</v>
      </c>
      <c r="C449" t="s">
        <v>1668</v>
      </c>
      <c r="D449">
        <v>0</v>
      </c>
      <c r="E449">
        <v>64</v>
      </c>
      <c r="F449">
        <v>500</v>
      </c>
      <c r="G449">
        <v>0</v>
      </c>
      <c r="H449">
        <v>0</v>
      </c>
      <c r="I449">
        <v>500</v>
      </c>
      <c r="J449">
        <v>0</v>
      </c>
      <c r="K449">
        <v>64</v>
      </c>
      <c r="L449">
        <v>0</v>
      </c>
      <c r="M449">
        <v>0</v>
      </c>
      <c r="N449">
        <v>0</v>
      </c>
    </row>
    <row r="450" spans="1:14" ht="12.75" x14ac:dyDescent="0.2">
      <c r="A450">
        <v>6952</v>
      </c>
      <c r="B450" s="342">
        <v>36010</v>
      </c>
      <c r="C450" t="s">
        <v>1297</v>
      </c>
      <c r="D450">
        <v>0</v>
      </c>
      <c r="E450">
        <v>680</v>
      </c>
      <c r="F450">
        <v>6500</v>
      </c>
      <c r="G450">
        <v>0</v>
      </c>
      <c r="H450">
        <v>0</v>
      </c>
      <c r="I450">
        <v>6500</v>
      </c>
      <c r="J450">
        <v>0</v>
      </c>
      <c r="K450">
        <v>680</v>
      </c>
      <c r="L450">
        <v>0</v>
      </c>
      <c r="M450">
        <v>0</v>
      </c>
      <c r="N450">
        <v>0</v>
      </c>
    </row>
    <row r="451" spans="1:14" ht="12.75" x14ac:dyDescent="0.2">
      <c r="A451">
        <v>6952</v>
      </c>
      <c r="B451" s="342">
        <v>36011</v>
      </c>
      <c r="C451" t="s">
        <v>1298</v>
      </c>
      <c r="D451">
        <v>2332.33</v>
      </c>
      <c r="E451">
        <v>9297.11</v>
      </c>
      <c r="F451">
        <v>12000</v>
      </c>
      <c r="G451">
        <v>4377.75</v>
      </c>
      <c r="H451">
        <v>4377.75</v>
      </c>
      <c r="I451">
        <v>12000</v>
      </c>
      <c r="J451">
        <v>2332.33</v>
      </c>
      <c r="K451">
        <v>9297.11</v>
      </c>
      <c r="L451">
        <v>4377.75</v>
      </c>
      <c r="M451">
        <v>4377.75</v>
      </c>
      <c r="N451">
        <v>0</v>
      </c>
    </row>
    <row r="452" spans="1:14" ht="12.75" x14ac:dyDescent="0.2">
      <c r="A452">
        <v>6952</v>
      </c>
      <c r="B452" s="342">
        <v>36012</v>
      </c>
      <c r="C452" t="s">
        <v>1299</v>
      </c>
      <c r="D452">
        <v>0</v>
      </c>
      <c r="E452">
        <v>308</v>
      </c>
      <c r="F452">
        <v>308</v>
      </c>
      <c r="G452">
        <v>946.09</v>
      </c>
      <c r="H452">
        <v>946.09</v>
      </c>
      <c r="I452">
        <v>308</v>
      </c>
      <c r="J452">
        <v>0</v>
      </c>
      <c r="K452">
        <v>308</v>
      </c>
      <c r="L452">
        <v>946.09</v>
      </c>
      <c r="M452">
        <v>946.09</v>
      </c>
      <c r="N452">
        <v>0</v>
      </c>
    </row>
    <row r="453" spans="1:14" ht="12.75" x14ac:dyDescent="0.2">
      <c r="A453">
        <v>6952</v>
      </c>
      <c r="B453" s="342">
        <v>36013</v>
      </c>
      <c r="C453" t="s">
        <v>1300</v>
      </c>
      <c r="D453">
        <v>0</v>
      </c>
      <c r="E453">
        <v>0</v>
      </c>
      <c r="F453">
        <v>0</v>
      </c>
      <c r="G453">
        <v>0</v>
      </c>
      <c r="H453">
        <v>0</v>
      </c>
      <c r="I453">
        <v>0</v>
      </c>
      <c r="J453">
        <v>0</v>
      </c>
      <c r="K453">
        <v>0</v>
      </c>
      <c r="L453">
        <v>0</v>
      </c>
      <c r="M453">
        <v>0</v>
      </c>
      <c r="N453">
        <v>0</v>
      </c>
    </row>
    <row r="454" spans="1:14" ht="12.75" x14ac:dyDescent="0.2">
      <c r="A454">
        <v>6952</v>
      </c>
      <c r="B454" s="342">
        <v>36014</v>
      </c>
      <c r="C454" t="s">
        <v>1301</v>
      </c>
      <c r="D454">
        <v>0</v>
      </c>
      <c r="E454">
        <v>256.04000000000002</v>
      </c>
      <c r="F454">
        <v>400</v>
      </c>
      <c r="G454">
        <v>0</v>
      </c>
      <c r="H454">
        <v>0</v>
      </c>
      <c r="I454">
        <v>400</v>
      </c>
      <c r="J454">
        <v>0</v>
      </c>
      <c r="K454">
        <v>256.04000000000002</v>
      </c>
      <c r="L454">
        <v>0</v>
      </c>
      <c r="M454">
        <v>0</v>
      </c>
      <c r="N454">
        <v>0</v>
      </c>
    </row>
    <row r="455" spans="1:14" ht="12.75" x14ac:dyDescent="0.2">
      <c r="A455">
        <v>6952</v>
      </c>
      <c r="B455" s="342">
        <v>36015</v>
      </c>
      <c r="C455" t="s">
        <v>1302</v>
      </c>
      <c r="D455">
        <v>124.72</v>
      </c>
      <c r="E455">
        <v>5496.97</v>
      </c>
      <c r="F455">
        <v>7100</v>
      </c>
      <c r="G455">
        <v>2416.1</v>
      </c>
      <c r="H455">
        <v>2416.1</v>
      </c>
      <c r="I455">
        <v>7100</v>
      </c>
      <c r="J455">
        <v>124.72</v>
      </c>
      <c r="K455">
        <v>5496.97</v>
      </c>
      <c r="L455">
        <v>2416.1</v>
      </c>
      <c r="M455">
        <v>2416.1</v>
      </c>
      <c r="N455">
        <v>0</v>
      </c>
    </row>
    <row r="456" spans="1:14" ht="12.75" x14ac:dyDescent="0.2">
      <c r="A456">
        <v>6952</v>
      </c>
      <c r="B456" s="342">
        <v>36016</v>
      </c>
      <c r="C456" t="s">
        <v>1669</v>
      </c>
      <c r="D456">
        <v>1125</v>
      </c>
      <c r="E456">
        <v>2628.66</v>
      </c>
      <c r="F456">
        <v>4000</v>
      </c>
      <c r="G456">
        <v>0</v>
      </c>
      <c r="H456">
        <v>0</v>
      </c>
      <c r="I456">
        <v>4000</v>
      </c>
      <c r="J456">
        <v>1125</v>
      </c>
      <c r="K456">
        <v>2628.66</v>
      </c>
      <c r="L456">
        <v>0</v>
      </c>
      <c r="M456">
        <v>0</v>
      </c>
      <c r="N456">
        <v>0</v>
      </c>
    </row>
    <row r="457" spans="1:14" ht="12.75" x14ac:dyDescent="0.2">
      <c r="A457">
        <v>6952</v>
      </c>
      <c r="B457" s="342">
        <v>36017</v>
      </c>
      <c r="C457" t="s">
        <v>1303</v>
      </c>
      <c r="D457">
        <v>0</v>
      </c>
      <c r="E457">
        <v>0</v>
      </c>
      <c r="F457">
        <v>0</v>
      </c>
      <c r="G457">
        <v>1500</v>
      </c>
      <c r="H457">
        <v>1500</v>
      </c>
      <c r="I457">
        <v>0</v>
      </c>
      <c r="J457">
        <v>0</v>
      </c>
      <c r="K457">
        <v>0</v>
      </c>
      <c r="L457">
        <v>1500</v>
      </c>
      <c r="M457">
        <v>1500</v>
      </c>
      <c r="N457">
        <v>0</v>
      </c>
    </row>
    <row r="458" spans="1:14" ht="12.75" x14ac:dyDescent="0.2">
      <c r="A458">
        <v>6952</v>
      </c>
      <c r="B458" s="342">
        <v>36018</v>
      </c>
      <c r="C458" t="s">
        <v>1304</v>
      </c>
      <c r="D458">
        <v>0</v>
      </c>
      <c r="E458">
        <v>0</v>
      </c>
      <c r="F458">
        <v>0</v>
      </c>
      <c r="G458">
        <v>700</v>
      </c>
      <c r="H458">
        <v>700</v>
      </c>
      <c r="I458">
        <v>0</v>
      </c>
      <c r="J458">
        <v>0</v>
      </c>
      <c r="K458">
        <v>0</v>
      </c>
      <c r="L458">
        <v>700</v>
      </c>
      <c r="M458">
        <v>700</v>
      </c>
      <c r="N458">
        <v>0</v>
      </c>
    </row>
    <row r="459" spans="1:14" ht="12.75" x14ac:dyDescent="0.2">
      <c r="A459">
        <v>6952</v>
      </c>
      <c r="B459" s="342">
        <v>36019</v>
      </c>
      <c r="C459" t="s">
        <v>1305</v>
      </c>
      <c r="D459">
        <v>0</v>
      </c>
      <c r="E459">
        <v>0</v>
      </c>
      <c r="F459">
        <v>0</v>
      </c>
      <c r="G459">
        <v>1500</v>
      </c>
      <c r="H459">
        <v>1500</v>
      </c>
      <c r="I459">
        <v>0</v>
      </c>
      <c r="J459">
        <v>0</v>
      </c>
      <c r="K459">
        <v>0</v>
      </c>
      <c r="L459">
        <v>1500</v>
      </c>
      <c r="M459">
        <v>1500</v>
      </c>
      <c r="N459">
        <v>0</v>
      </c>
    </row>
    <row r="460" spans="1:14" ht="12.75" x14ac:dyDescent="0.2">
      <c r="A460">
        <v>6952</v>
      </c>
      <c r="B460" s="342">
        <v>36020</v>
      </c>
      <c r="C460" t="s">
        <v>134</v>
      </c>
      <c r="D460">
        <v>8134.31</v>
      </c>
      <c r="E460">
        <v>52703.91</v>
      </c>
      <c r="F460">
        <v>49110</v>
      </c>
      <c r="G460">
        <v>46125.85</v>
      </c>
      <c r="H460">
        <v>46125.85</v>
      </c>
      <c r="I460">
        <v>49110</v>
      </c>
      <c r="J460">
        <v>8134.31</v>
      </c>
      <c r="K460">
        <v>52703.91</v>
      </c>
      <c r="L460">
        <v>46125.85</v>
      </c>
      <c r="M460">
        <v>46125.85</v>
      </c>
      <c r="N460">
        <v>0</v>
      </c>
    </row>
    <row r="461" spans="1:14" ht="12.75" x14ac:dyDescent="0.2">
      <c r="A461">
        <v>6952</v>
      </c>
      <c r="B461" s="342">
        <v>36021</v>
      </c>
      <c r="C461" t="s">
        <v>320</v>
      </c>
      <c r="D461">
        <v>0</v>
      </c>
      <c r="E461">
        <v>24.88</v>
      </c>
      <c r="F461">
        <v>200</v>
      </c>
      <c r="G461">
        <v>41.34</v>
      </c>
      <c r="H461">
        <v>41.34</v>
      </c>
      <c r="I461">
        <v>200</v>
      </c>
      <c r="J461">
        <v>0</v>
      </c>
      <c r="K461">
        <v>24.88</v>
      </c>
      <c r="L461">
        <v>41.34</v>
      </c>
      <c r="M461">
        <v>41.34</v>
      </c>
      <c r="N461">
        <v>0</v>
      </c>
    </row>
    <row r="462" spans="1:14" ht="12.75" x14ac:dyDescent="0.2">
      <c r="A462">
        <v>6952</v>
      </c>
      <c r="B462" s="342">
        <v>36022</v>
      </c>
      <c r="C462" t="s">
        <v>1044</v>
      </c>
      <c r="D462">
        <v>258.69</v>
      </c>
      <c r="E462">
        <v>1820.64</v>
      </c>
      <c r="F462">
        <v>1800</v>
      </c>
      <c r="G462">
        <v>1851.79</v>
      </c>
      <c r="H462">
        <v>1851.79</v>
      </c>
      <c r="I462">
        <v>1800</v>
      </c>
      <c r="J462">
        <v>258.69</v>
      </c>
      <c r="K462">
        <v>1820.64</v>
      </c>
      <c r="L462">
        <v>1851.79</v>
      </c>
      <c r="M462">
        <v>1851.79</v>
      </c>
      <c r="N462">
        <v>0</v>
      </c>
    </row>
    <row r="463" spans="1:14" ht="12.75" x14ac:dyDescent="0.2">
      <c r="A463">
        <v>6952</v>
      </c>
      <c r="B463" s="342">
        <v>36023</v>
      </c>
      <c r="C463" t="s">
        <v>619</v>
      </c>
      <c r="D463">
        <v>224.71</v>
      </c>
      <c r="E463">
        <v>2514.41</v>
      </c>
      <c r="F463">
        <v>2500</v>
      </c>
      <c r="G463">
        <v>2234.11</v>
      </c>
      <c r="H463">
        <v>2234.11</v>
      </c>
      <c r="I463">
        <v>2500</v>
      </c>
      <c r="J463">
        <v>224.71</v>
      </c>
      <c r="K463">
        <v>2514.41</v>
      </c>
      <c r="L463">
        <v>2234.11</v>
      </c>
      <c r="M463">
        <v>2234.11</v>
      </c>
      <c r="N463">
        <v>0</v>
      </c>
    </row>
    <row r="464" spans="1:14" ht="12.75" x14ac:dyDescent="0.2">
      <c r="A464">
        <v>6952</v>
      </c>
      <c r="B464" s="342">
        <v>36024</v>
      </c>
      <c r="C464" t="s">
        <v>1045</v>
      </c>
      <c r="D464">
        <v>203.79</v>
      </c>
      <c r="E464">
        <v>1219.47</v>
      </c>
      <c r="F464">
        <v>2500</v>
      </c>
      <c r="G464">
        <v>3034.49</v>
      </c>
      <c r="H464">
        <v>3034.49</v>
      </c>
      <c r="I464">
        <v>2500</v>
      </c>
      <c r="J464">
        <v>203.79</v>
      </c>
      <c r="K464">
        <v>1219.47</v>
      </c>
      <c r="L464">
        <v>3083.82</v>
      </c>
      <c r="M464">
        <v>3083.82</v>
      </c>
      <c r="N464">
        <v>0</v>
      </c>
    </row>
    <row r="465" spans="1:14" ht="12.75" x14ac:dyDescent="0.2">
      <c r="A465">
        <v>6952</v>
      </c>
      <c r="B465" s="342">
        <v>36025</v>
      </c>
      <c r="C465" t="s">
        <v>313</v>
      </c>
      <c r="D465">
        <v>383.95</v>
      </c>
      <c r="E465">
        <v>658.05</v>
      </c>
      <c r="F465">
        <v>700</v>
      </c>
      <c r="G465">
        <v>504.35</v>
      </c>
      <c r="H465">
        <v>504.35</v>
      </c>
      <c r="I465">
        <v>700</v>
      </c>
      <c r="J465">
        <v>383.95</v>
      </c>
      <c r="K465">
        <v>658.05</v>
      </c>
      <c r="L465">
        <v>504.35</v>
      </c>
      <c r="M465">
        <v>504.35</v>
      </c>
      <c r="N465">
        <v>0</v>
      </c>
    </row>
    <row r="466" spans="1:14" ht="12.75" x14ac:dyDescent="0.2">
      <c r="A466">
        <v>6952</v>
      </c>
      <c r="B466" s="342">
        <v>36026</v>
      </c>
      <c r="C466" t="s">
        <v>359</v>
      </c>
      <c r="D466">
        <v>0</v>
      </c>
      <c r="E466">
        <v>513.09</v>
      </c>
      <c r="F466">
        <v>850</v>
      </c>
      <c r="G466">
        <v>113.31</v>
      </c>
      <c r="H466">
        <v>113.31</v>
      </c>
      <c r="I466">
        <v>850</v>
      </c>
      <c r="J466">
        <v>0</v>
      </c>
      <c r="K466">
        <v>513.09</v>
      </c>
      <c r="L466">
        <v>113.31</v>
      </c>
      <c r="M466">
        <v>113.31</v>
      </c>
      <c r="N466">
        <v>0</v>
      </c>
    </row>
    <row r="467" spans="1:14" ht="12.75" x14ac:dyDescent="0.2">
      <c r="A467">
        <v>6952</v>
      </c>
      <c r="B467" s="342">
        <v>36027</v>
      </c>
      <c r="C467" t="s">
        <v>1046</v>
      </c>
      <c r="D467">
        <v>0</v>
      </c>
      <c r="E467">
        <v>0</v>
      </c>
      <c r="F467">
        <v>0</v>
      </c>
      <c r="G467">
        <v>0</v>
      </c>
      <c r="H467">
        <v>0</v>
      </c>
      <c r="I467">
        <v>0</v>
      </c>
      <c r="J467">
        <v>0</v>
      </c>
      <c r="K467">
        <v>0</v>
      </c>
      <c r="L467">
        <v>0</v>
      </c>
      <c r="M467">
        <v>0</v>
      </c>
      <c r="N467">
        <v>0</v>
      </c>
    </row>
    <row r="468" spans="1:14" ht="12.75" x14ac:dyDescent="0.2">
      <c r="A468">
        <v>6952</v>
      </c>
      <c r="B468" s="342">
        <v>36028</v>
      </c>
      <c r="C468" t="s">
        <v>1047</v>
      </c>
      <c r="D468">
        <v>0</v>
      </c>
      <c r="E468">
        <v>0</v>
      </c>
      <c r="F468">
        <v>3225</v>
      </c>
      <c r="G468">
        <v>0</v>
      </c>
      <c r="H468">
        <v>0</v>
      </c>
      <c r="I468">
        <v>3225</v>
      </c>
      <c r="J468">
        <v>0</v>
      </c>
      <c r="K468">
        <v>0</v>
      </c>
      <c r="L468">
        <v>0</v>
      </c>
      <c r="M468">
        <v>0</v>
      </c>
      <c r="N468">
        <v>0</v>
      </c>
    </row>
    <row r="469" spans="1:14" ht="12.75" x14ac:dyDescent="0.2">
      <c r="A469">
        <v>6952</v>
      </c>
      <c r="B469" s="342">
        <v>36029</v>
      </c>
      <c r="C469" t="s">
        <v>1048</v>
      </c>
      <c r="D469">
        <v>3721.32</v>
      </c>
      <c r="E469">
        <v>18519.28</v>
      </c>
      <c r="F469">
        <v>19500</v>
      </c>
      <c r="G469">
        <v>20103.38</v>
      </c>
      <c r="H469">
        <v>20103.38</v>
      </c>
      <c r="I469">
        <v>19500</v>
      </c>
      <c r="J469">
        <v>3721.32</v>
      </c>
      <c r="K469">
        <v>18519.28</v>
      </c>
      <c r="L469">
        <v>20103.38</v>
      </c>
      <c r="M469">
        <v>20103.38</v>
      </c>
      <c r="N469">
        <v>0</v>
      </c>
    </row>
    <row r="470" spans="1:14" ht="12.75" x14ac:dyDescent="0.2">
      <c r="A470">
        <v>6952</v>
      </c>
      <c r="B470" s="342">
        <v>36030</v>
      </c>
      <c r="C470" t="s">
        <v>1128</v>
      </c>
      <c r="D470">
        <v>477</v>
      </c>
      <c r="E470">
        <v>10673.46</v>
      </c>
      <c r="F470">
        <v>7770</v>
      </c>
      <c r="G470">
        <v>189.16</v>
      </c>
      <c r="H470">
        <v>189.16</v>
      </c>
      <c r="I470">
        <v>7770</v>
      </c>
      <c r="J470">
        <v>477</v>
      </c>
      <c r="K470">
        <v>10673.46</v>
      </c>
      <c r="L470">
        <v>189.16</v>
      </c>
      <c r="M470">
        <v>189.16</v>
      </c>
      <c r="N470">
        <v>0</v>
      </c>
    </row>
    <row r="471" spans="1:14" ht="12.75" x14ac:dyDescent="0.2">
      <c r="A471">
        <v>6952</v>
      </c>
      <c r="B471" s="342">
        <v>37000</v>
      </c>
      <c r="C471" t="s">
        <v>461</v>
      </c>
      <c r="D471">
        <v>27.5</v>
      </c>
      <c r="E471">
        <v>104.26</v>
      </c>
      <c r="F471">
        <v>500</v>
      </c>
      <c r="G471">
        <v>184.75</v>
      </c>
      <c r="H471">
        <v>184.75</v>
      </c>
      <c r="I471">
        <v>500</v>
      </c>
      <c r="J471">
        <v>27.5</v>
      </c>
      <c r="K471">
        <v>104.26</v>
      </c>
      <c r="L471">
        <v>184.75</v>
      </c>
      <c r="M471">
        <v>184.75</v>
      </c>
      <c r="N471">
        <v>0</v>
      </c>
    </row>
    <row r="472" spans="1:14" ht="12.75" x14ac:dyDescent="0.2">
      <c r="A472">
        <v>6952</v>
      </c>
      <c r="B472" s="342">
        <v>37010</v>
      </c>
      <c r="C472" t="s">
        <v>676</v>
      </c>
      <c r="D472">
        <v>2741.64</v>
      </c>
      <c r="E472">
        <v>23791.69</v>
      </c>
      <c r="F472">
        <v>27500</v>
      </c>
      <c r="G472">
        <v>23677.56</v>
      </c>
      <c r="H472">
        <v>23677.56</v>
      </c>
      <c r="I472">
        <v>27500</v>
      </c>
      <c r="J472">
        <v>2741.64</v>
      </c>
      <c r="K472">
        <v>24089</v>
      </c>
      <c r="L472">
        <v>24232.15</v>
      </c>
      <c r="M472">
        <v>24232.15</v>
      </c>
      <c r="N472">
        <v>0</v>
      </c>
    </row>
    <row r="473" spans="1:14" ht="12.75" x14ac:dyDescent="0.2">
      <c r="A473">
        <v>6952</v>
      </c>
      <c r="B473" s="342">
        <v>37015</v>
      </c>
      <c r="C473" t="s">
        <v>1049</v>
      </c>
      <c r="D473">
        <v>1713.79</v>
      </c>
      <c r="E473">
        <v>49818.87</v>
      </c>
      <c r="F473">
        <v>40000</v>
      </c>
      <c r="G473">
        <v>37377.699999999997</v>
      </c>
      <c r="H473">
        <v>37377.699999999997</v>
      </c>
      <c r="I473">
        <v>40000</v>
      </c>
      <c r="J473">
        <v>1713.79</v>
      </c>
      <c r="K473">
        <v>49827.13</v>
      </c>
      <c r="L473">
        <v>37947.26</v>
      </c>
      <c r="M473">
        <v>37947.26</v>
      </c>
      <c r="N473">
        <v>0</v>
      </c>
    </row>
    <row r="474" spans="1:14" ht="12.75" x14ac:dyDescent="0.2">
      <c r="A474">
        <v>6952</v>
      </c>
      <c r="B474" s="342">
        <v>37030</v>
      </c>
      <c r="C474" t="s">
        <v>382</v>
      </c>
      <c r="D474">
        <v>15.04</v>
      </c>
      <c r="E474">
        <v>15.04</v>
      </c>
      <c r="F474">
        <v>0</v>
      </c>
      <c r="G474">
        <v>0</v>
      </c>
      <c r="H474">
        <v>0</v>
      </c>
      <c r="I474">
        <v>0</v>
      </c>
      <c r="J474">
        <v>15.04</v>
      </c>
      <c r="K474">
        <v>15.04</v>
      </c>
      <c r="L474">
        <v>0</v>
      </c>
      <c r="M474">
        <v>0</v>
      </c>
      <c r="N474">
        <v>0</v>
      </c>
    </row>
    <row r="475" spans="1:14" ht="12.75" x14ac:dyDescent="0.2">
      <c r="A475">
        <v>6952</v>
      </c>
      <c r="B475" s="342">
        <v>37040</v>
      </c>
      <c r="C475" t="s">
        <v>462</v>
      </c>
      <c r="D475">
        <v>8288.5</v>
      </c>
      <c r="E475">
        <v>33816.400000000001</v>
      </c>
      <c r="F475">
        <v>36000</v>
      </c>
      <c r="G475">
        <v>30051.599999999999</v>
      </c>
      <c r="H475">
        <v>30051.599999999999</v>
      </c>
      <c r="I475">
        <v>36000</v>
      </c>
      <c r="J475">
        <v>8288.5</v>
      </c>
      <c r="K475">
        <v>33816.400000000001</v>
      </c>
      <c r="L475">
        <v>30051.599999999999</v>
      </c>
      <c r="M475">
        <v>30051.599999999999</v>
      </c>
      <c r="N475">
        <v>0</v>
      </c>
    </row>
    <row r="476" spans="1:14" ht="12.75" x14ac:dyDescent="0.2">
      <c r="A476">
        <v>6952</v>
      </c>
      <c r="B476" s="342">
        <v>37041</v>
      </c>
      <c r="C476" t="s">
        <v>463</v>
      </c>
      <c r="D476">
        <v>0</v>
      </c>
      <c r="E476">
        <v>0</v>
      </c>
      <c r="F476">
        <v>0</v>
      </c>
      <c r="G476">
        <v>-9.52</v>
      </c>
      <c r="H476">
        <v>-9.52</v>
      </c>
      <c r="I476">
        <v>0</v>
      </c>
      <c r="J476">
        <v>0</v>
      </c>
      <c r="K476">
        <v>0</v>
      </c>
      <c r="L476">
        <v>0</v>
      </c>
      <c r="M476">
        <v>0</v>
      </c>
      <c r="N476">
        <v>0</v>
      </c>
    </row>
    <row r="477" spans="1:14" ht="12.75" x14ac:dyDescent="0.2">
      <c r="A477">
        <v>6952</v>
      </c>
      <c r="B477" s="342">
        <v>37050</v>
      </c>
      <c r="C477" t="s">
        <v>464</v>
      </c>
      <c r="D477">
        <v>0</v>
      </c>
      <c r="E477">
        <v>0</v>
      </c>
      <c r="F477">
        <v>28000</v>
      </c>
      <c r="G477">
        <v>0</v>
      </c>
      <c r="H477">
        <v>0</v>
      </c>
      <c r="I477">
        <v>28000</v>
      </c>
      <c r="J477">
        <v>0</v>
      </c>
      <c r="K477">
        <v>0</v>
      </c>
      <c r="L477">
        <v>0</v>
      </c>
      <c r="M477">
        <v>0</v>
      </c>
      <c r="N477">
        <v>0</v>
      </c>
    </row>
    <row r="478" spans="1:14" ht="12.75" x14ac:dyDescent="0.2">
      <c r="A478">
        <v>6952</v>
      </c>
      <c r="B478" s="342">
        <v>37060</v>
      </c>
      <c r="C478" t="s">
        <v>465</v>
      </c>
      <c r="D478">
        <v>4360</v>
      </c>
      <c r="E478">
        <v>19341.09</v>
      </c>
      <c r="F478">
        <v>19000</v>
      </c>
      <c r="G478">
        <v>15931.31</v>
      </c>
      <c r="H478">
        <v>15931.31</v>
      </c>
      <c r="I478">
        <v>19000</v>
      </c>
      <c r="J478">
        <v>4360</v>
      </c>
      <c r="K478">
        <v>19341.09</v>
      </c>
      <c r="L478">
        <v>15931.31</v>
      </c>
      <c r="M478">
        <v>15931.31</v>
      </c>
      <c r="N478">
        <v>0</v>
      </c>
    </row>
    <row r="479" spans="1:14" ht="12.75" x14ac:dyDescent="0.2">
      <c r="A479">
        <v>6952</v>
      </c>
      <c r="B479" s="342">
        <v>37070</v>
      </c>
      <c r="C479" t="s">
        <v>678</v>
      </c>
      <c r="D479">
        <v>1512.94</v>
      </c>
      <c r="E479">
        <v>26978.51</v>
      </c>
      <c r="F479">
        <v>17880</v>
      </c>
      <c r="G479">
        <v>982.04</v>
      </c>
      <c r="H479">
        <v>982.04</v>
      </c>
      <c r="I479">
        <v>17880</v>
      </c>
      <c r="J479">
        <v>1512.94</v>
      </c>
      <c r="K479">
        <v>26978.51</v>
      </c>
      <c r="L479">
        <v>982.04</v>
      </c>
      <c r="M479">
        <v>982.04</v>
      </c>
      <c r="N479">
        <v>0</v>
      </c>
    </row>
    <row r="480" spans="1:14" ht="12.75" x14ac:dyDescent="0.2">
      <c r="A480">
        <v>6952</v>
      </c>
      <c r="B480" s="342">
        <v>37080</v>
      </c>
      <c r="C480" t="s">
        <v>466</v>
      </c>
      <c r="D480">
        <v>6147.34</v>
      </c>
      <c r="E480">
        <v>40454.36</v>
      </c>
      <c r="F480">
        <v>34600</v>
      </c>
      <c r="G480">
        <v>33634.120000000003</v>
      </c>
      <c r="H480">
        <v>33634.120000000003</v>
      </c>
      <c r="I480">
        <v>34600</v>
      </c>
      <c r="J480">
        <v>6147.34</v>
      </c>
      <c r="K480">
        <v>40454.36</v>
      </c>
      <c r="L480">
        <v>33634.120000000003</v>
      </c>
      <c r="M480">
        <v>33634.120000000003</v>
      </c>
      <c r="N480">
        <v>0</v>
      </c>
    </row>
    <row r="481" spans="1:14" ht="12.75" x14ac:dyDescent="0.2">
      <c r="A481">
        <v>6952</v>
      </c>
      <c r="B481" s="342">
        <v>37085</v>
      </c>
      <c r="C481" t="s">
        <v>467</v>
      </c>
      <c r="D481">
        <v>0</v>
      </c>
      <c r="E481">
        <v>0</v>
      </c>
      <c r="F481">
        <v>0</v>
      </c>
      <c r="G481">
        <v>0</v>
      </c>
      <c r="H481">
        <v>0</v>
      </c>
      <c r="I481">
        <v>0</v>
      </c>
      <c r="J481">
        <v>0</v>
      </c>
      <c r="K481">
        <v>0</v>
      </c>
      <c r="L481">
        <v>0</v>
      </c>
      <c r="M481">
        <v>0</v>
      </c>
      <c r="N481">
        <v>0</v>
      </c>
    </row>
    <row r="482" spans="1:14" ht="12.75" x14ac:dyDescent="0.2">
      <c r="A482">
        <v>6952</v>
      </c>
      <c r="B482" s="342">
        <v>37090</v>
      </c>
      <c r="C482" t="s">
        <v>468</v>
      </c>
      <c r="D482">
        <v>780</v>
      </c>
      <c r="E482">
        <v>7386.96</v>
      </c>
      <c r="F482">
        <v>8000</v>
      </c>
      <c r="G482">
        <v>3460.87</v>
      </c>
      <c r="H482">
        <v>3460.87</v>
      </c>
      <c r="I482">
        <v>8000</v>
      </c>
      <c r="J482">
        <v>780</v>
      </c>
      <c r="K482">
        <v>12958.96</v>
      </c>
      <c r="L482">
        <v>3460.87</v>
      </c>
      <c r="M482">
        <v>3460.87</v>
      </c>
      <c r="N482">
        <v>0</v>
      </c>
    </row>
    <row r="483" spans="1:14" ht="12.75" x14ac:dyDescent="0.2">
      <c r="A483">
        <v>6952</v>
      </c>
      <c r="B483" s="342">
        <v>37130</v>
      </c>
      <c r="C483" t="s">
        <v>469</v>
      </c>
      <c r="D483">
        <v>4172</v>
      </c>
      <c r="E483">
        <v>22183</v>
      </c>
      <c r="F483">
        <v>19000</v>
      </c>
      <c r="G483">
        <v>21798.7</v>
      </c>
      <c r="H483">
        <v>21798.7</v>
      </c>
      <c r="I483">
        <v>19000</v>
      </c>
      <c r="J483">
        <v>4172</v>
      </c>
      <c r="K483">
        <v>22183</v>
      </c>
      <c r="L483">
        <v>21798.7</v>
      </c>
      <c r="M483">
        <v>21798.7</v>
      </c>
      <c r="N483">
        <v>0</v>
      </c>
    </row>
    <row r="484" spans="1:14" ht="12.75" x14ac:dyDescent="0.2">
      <c r="A484">
        <v>6952</v>
      </c>
      <c r="B484" s="342">
        <v>37140</v>
      </c>
      <c r="C484" t="s">
        <v>470</v>
      </c>
      <c r="D484">
        <v>1389.19</v>
      </c>
      <c r="E484">
        <v>17056.8</v>
      </c>
      <c r="F484">
        <v>38000</v>
      </c>
      <c r="G484">
        <v>17028.990000000002</v>
      </c>
      <c r="H484">
        <v>17028.990000000002</v>
      </c>
      <c r="I484">
        <v>38000</v>
      </c>
      <c r="J484">
        <v>1389.19</v>
      </c>
      <c r="K484">
        <v>17056.8</v>
      </c>
      <c r="L484">
        <v>17028.990000000002</v>
      </c>
      <c r="M484">
        <v>17028.990000000002</v>
      </c>
      <c r="N484">
        <v>0</v>
      </c>
    </row>
    <row r="485" spans="1:14" ht="12.75" x14ac:dyDescent="0.2">
      <c r="A485">
        <v>6952</v>
      </c>
      <c r="B485" s="342">
        <v>37141</v>
      </c>
      <c r="C485" t="s">
        <v>348</v>
      </c>
      <c r="D485">
        <v>0</v>
      </c>
      <c r="E485">
        <v>0</v>
      </c>
      <c r="F485">
        <v>0</v>
      </c>
      <c r="G485">
        <v>0</v>
      </c>
      <c r="H485">
        <v>0</v>
      </c>
      <c r="I485">
        <v>0</v>
      </c>
      <c r="J485">
        <v>0</v>
      </c>
      <c r="K485">
        <v>0</v>
      </c>
      <c r="L485">
        <v>0</v>
      </c>
      <c r="M485">
        <v>0</v>
      </c>
      <c r="N485">
        <v>0</v>
      </c>
    </row>
    <row r="486" spans="1:14" ht="12.75" x14ac:dyDescent="0.2">
      <c r="A486">
        <v>6952</v>
      </c>
      <c r="B486" s="342">
        <v>37142</v>
      </c>
      <c r="C486" t="s">
        <v>1050</v>
      </c>
      <c r="D486">
        <v>0</v>
      </c>
      <c r="E486">
        <v>0</v>
      </c>
      <c r="F486">
        <v>0</v>
      </c>
      <c r="G486">
        <v>0</v>
      </c>
      <c r="H486">
        <v>0</v>
      </c>
      <c r="I486">
        <v>0</v>
      </c>
      <c r="J486">
        <v>0</v>
      </c>
      <c r="K486">
        <v>0</v>
      </c>
      <c r="L486">
        <v>0</v>
      </c>
      <c r="M486">
        <v>0</v>
      </c>
      <c r="N486">
        <v>0</v>
      </c>
    </row>
    <row r="487" spans="1:14" ht="12.75" x14ac:dyDescent="0.2">
      <c r="A487">
        <v>6952</v>
      </c>
      <c r="B487" s="342">
        <v>37143</v>
      </c>
      <c r="C487" t="s">
        <v>1488</v>
      </c>
      <c r="D487">
        <v>0</v>
      </c>
      <c r="E487">
        <v>20275</v>
      </c>
      <c r="F487">
        <v>30000</v>
      </c>
      <c r="G487">
        <v>23712.5</v>
      </c>
      <c r="H487">
        <v>23712.5</v>
      </c>
      <c r="I487">
        <v>30000</v>
      </c>
      <c r="J487">
        <v>0</v>
      </c>
      <c r="K487">
        <v>20275</v>
      </c>
      <c r="L487">
        <v>23712.5</v>
      </c>
      <c r="M487">
        <v>23712.5</v>
      </c>
      <c r="N487">
        <v>0</v>
      </c>
    </row>
    <row r="488" spans="1:14" ht="12.75" x14ac:dyDescent="0.2">
      <c r="A488">
        <v>6952</v>
      </c>
      <c r="B488" s="342">
        <v>37145</v>
      </c>
      <c r="C488" t="s">
        <v>887</v>
      </c>
      <c r="D488">
        <v>0</v>
      </c>
      <c r="E488">
        <v>1200</v>
      </c>
      <c r="F488">
        <v>4000</v>
      </c>
      <c r="G488">
        <v>1270</v>
      </c>
      <c r="H488">
        <v>1270</v>
      </c>
      <c r="I488">
        <v>4000</v>
      </c>
      <c r="J488">
        <v>0</v>
      </c>
      <c r="K488">
        <v>1200</v>
      </c>
      <c r="L488">
        <v>1270</v>
      </c>
      <c r="M488">
        <v>1270</v>
      </c>
      <c r="N488">
        <v>0</v>
      </c>
    </row>
    <row r="489" spans="1:14" ht="12.75" x14ac:dyDescent="0.2">
      <c r="A489">
        <v>6952</v>
      </c>
      <c r="B489" s="342">
        <v>37160</v>
      </c>
      <c r="C489" t="s">
        <v>619</v>
      </c>
      <c r="D489">
        <v>425.75</v>
      </c>
      <c r="E489">
        <v>9450.7000000000007</v>
      </c>
      <c r="F489">
        <v>8000</v>
      </c>
      <c r="G489">
        <v>4342.83</v>
      </c>
      <c r="H489">
        <v>4342.83</v>
      </c>
      <c r="I489">
        <v>8000</v>
      </c>
      <c r="J489">
        <v>425.75</v>
      </c>
      <c r="K489">
        <v>13898.61</v>
      </c>
      <c r="L489">
        <v>4564.8500000000004</v>
      </c>
      <c r="M489">
        <v>4564.8500000000004</v>
      </c>
      <c r="N489">
        <v>0</v>
      </c>
    </row>
    <row r="490" spans="1:14" ht="12.75" x14ac:dyDescent="0.2">
      <c r="A490">
        <v>6952</v>
      </c>
      <c r="B490" s="342">
        <v>37180</v>
      </c>
      <c r="C490" t="s">
        <v>313</v>
      </c>
      <c r="D490">
        <v>387.4</v>
      </c>
      <c r="E490">
        <v>1270.0999999999999</v>
      </c>
      <c r="F490">
        <v>2200</v>
      </c>
      <c r="G490">
        <v>85.25</v>
      </c>
      <c r="H490">
        <v>85.25</v>
      </c>
      <c r="I490">
        <v>2200</v>
      </c>
      <c r="J490">
        <v>387.4</v>
      </c>
      <c r="K490">
        <v>1270.0999999999999</v>
      </c>
      <c r="L490">
        <v>85.25</v>
      </c>
      <c r="M490">
        <v>85.25</v>
      </c>
      <c r="N490">
        <v>0</v>
      </c>
    </row>
    <row r="491" spans="1:14" ht="12.75" x14ac:dyDescent="0.2">
      <c r="A491">
        <v>6952</v>
      </c>
      <c r="B491" s="342">
        <v>37185</v>
      </c>
      <c r="C491" t="s">
        <v>471</v>
      </c>
      <c r="D491">
        <v>458.19</v>
      </c>
      <c r="E491">
        <v>2283.09</v>
      </c>
      <c r="F491">
        <v>1400</v>
      </c>
      <c r="G491">
        <v>1628.27</v>
      </c>
      <c r="H491">
        <v>1628.27</v>
      </c>
      <c r="I491">
        <v>1400</v>
      </c>
      <c r="J491">
        <v>458.19</v>
      </c>
      <c r="K491">
        <v>2283.09</v>
      </c>
      <c r="L491">
        <v>1628.27</v>
      </c>
      <c r="M491">
        <v>1628.27</v>
      </c>
      <c r="N491">
        <v>0</v>
      </c>
    </row>
    <row r="492" spans="1:14" ht="12.75" x14ac:dyDescent="0.2">
      <c r="A492">
        <v>6952</v>
      </c>
      <c r="B492" s="342">
        <v>37187</v>
      </c>
      <c r="C492" t="s">
        <v>319</v>
      </c>
      <c r="D492">
        <v>35.36</v>
      </c>
      <c r="E492">
        <v>328.45</v>
      </c>
      <c r="F492">
        <v>800</v>
      </c>
      <c r="G492">
        <v>422.79</v>
      </c>
      <c r="H492">
        <v>422.79</v>
      </c>
      <c r="I492">
        <v>800</v>
      </c>
      <c r="J492">
        <v>35.36</v>
      </c>
      <c r="K492">
        <v>328.45</v>
      </c>
      <c r="L492">
        <v>422.79</v>
      </c>
      <c r="M492">
        <v>422.79</v>
      </c>
      <c r="N492">
        <v>0</v>
      </c>
    </row>
    <row r="493" spans="1:14" ht="12.75" x14ac:dyDescent="0.2">
      <c r="A493">
        <v>6952</v>
      </c>
      <c r="B493" s="342">
        <v>37190</v>
      </c>
      <c r="C493" t="s">
        <v>320</v>
      </c>
      <c r="D493">
        <v>264.52</v>
      </c>
      <c r="E493">
        <v>607.51</v>
      </c>
      <c r="F493">
        <v>500</v>
      </c>
      <c r="G493">
        <v>433.54</v>
      </c>
      <c r="H493">
        <v>433.54</v>
      </c>
      <c r="I493">
        <v>500</v>
      </c>
      <c r="J493">
        <v>264.52</v>
      </c>
      <c r="K493">
        <v>607.51</v>
      </c>
      <c r="L493">
        <v>433.54</v>
      </c>
      <c r="M493">
        <v>433.54</v>
      </c>
      <c r="N493">
        <v>0</v>
      </c>
    </row>
    <row r="494" spans="1:14" ht="12.75" x14ac:dyDescent="0.2">
      <c r="A494">
        <v>6952</v>
      </c>
      <c r="B494" s="342">
        <v>37210</v>
      </c>
      <c r="C494" t="s">
        <v>371</v>
      </c>
      <c r="D494">
        <v>0</v>
      </c>
      <c r="E494">
        <v>1203.77</v>
      </c>
      <c r="F494">
        <v>400</v>
      </c>
      <c r="G494">
        <v>611.12</v>
      </c>
      <c r="H494">
        <v>611.12</v>
      </c>
      <c r="I494">
        <v>400</v>
      </c>
      <c r="J494">
        <v>0</v>
      </c>
      <c r="K494">
        <v>1203.77</v>
      </c>
      <c r="L494">
        <v>611.12</v>
      </c>
      <c r="M494">
        <v>611.12</v>
      </c>
      <c r="N494">
        <v>0</v>
      </c>
    </row>
    <row r="495" spans="1:14" ht="12.75" x14ac:dyDescent="0.2">
      <c r="A495">
        <v>6952</v>
      </c>
      <c r="B495" s="342">
        <v>37250</v>
      </c>
      <c r="C495" t="s">
        <v>384</v>
      </c>
      <c r="D495">
        <v>0</v>
      </c>
      <c r="E495">
        <v>162.12</v>
      </c>
      <c r="F495">
        <v>400</v>
      </c>
      <c r="G495">
        <v>0</v>
      </c>
      <c r="H495">
        <v>0</v>
      </c>
      <c r="I495">
        <v>400</v>
      </c>
      <c r="J495">
        <v>0</v>
      </c>
      <c r="K495">
        <v>162.12</v>
      </c>
      <c r="L495">
        <v>0</v>
      </c>
      <c r="M495">
        <v>0</v>
      </c>
      <c r="N495">
        <v>0</v>
      </c>
    </row>
    <row r="496" spans="1:14" ht="12.75" x14ac:dyDescent="0.2">
      <c r="A496">
        <v>6952</v>
      </c>
      <c r="B496" s="342">
        <v>37260</v>
      </c>
      <c r="C496" t="s">
        <v>472</v>
      </c>
      <c r="D496">
        <v>0</v>
      </c>
      <c r="E496">
        <v>0</v>
      </c>
      <c r="F496">
        <v>0</v>
      </c>
      <c r="G496">
        <v>0</v>
      </c>
      <c r="H496">
        <v>0</v>
      </c>
      <c r="I496">
        <v>0</v>
      </c>
      <c r="J496">
        <v>0</v>
      </c>
      <c r="K496">
        <v>0</v>
      </c>
      <c r="L496">
        <v>0</v>
      </c>
      <c r="M496">
        <v>0</v>
      </c>
      <c r="N496">
        <v>0</v>
      </c>
    </row>
    <row r="497" spans="1:14" ht="12.75" x14ac:dyDescent="0.2">
      <c r="A497">
        <v>6952</v>
      </c>
      <c r="B497">
        <v>37270</v>
      </c>
      <c r="C497" t="s">
        <v>473</v>
      </c>
      <c r="D497">
        <v>0</v>
      </c>
      <c r="E497">
        <v>0</v>
      </c>
      <c r="F497">
        <v>0</v>
      </c>
      <c r="G497">
        <v>0</v>
      </c>
      <c r="H497">
        <v>0</v>
      </c>
      <c r="I497">
        <v>0</v>
      </c>
      <c r="J497">
        <v>0</v>
      </c>
      <c r="K497">
        <v>0</v>
      </c>
      <c r="L497">
        <v>0</v>
      </c>
      <c r="M497">
        <v>0</v>
      </c>
      <c r="N497">
        <v>0</v>
      </c>
    </row>
    <row r="498" spans="1:14" ht="12.75" x14ac:dyDescent="0.2">
      <c r="A498">
        <v>6952</v>
      </c>
      <c r="B498" s="342">
        <v>37300</v>
      </c>
      <c r="C498" t="s">
        <v>329</v>
      </c>
      <c r="D498">
        <v>0</v>
      </c>
      <c r="E498">
        <v>174.5</v>
      </c>
      <c r="F498">
        <v>0</v>
      </c>
      <c r="G498">
        <v>31058.880000000001</v>
      </c>
      <c r="H498">
        <v>31058.880000000001</v>
      </c>
      <c r="I498">
        <v>0</v>
      </c>
      <c r="J498">
        <v>0</v>
      </c>
      <c r="K498">
        <v>174.5</v>
      </c>
      <c r="L498">
        <v>31058.880000000001</v>
      </c>
      <c r="M498">
        <v>31058.880000000001</v>
      </c>
      <c r="N498">
        <v>0</v>
      </c>
    </row>
    <row r="499" spans="1:14" ht="12.75" x14ac:dyDescent="0.2">
      <c r="A499">
        <v>6952</v>
      </c>
      <c r="B499" s="342">
        <v>37305</v>
      </c>
      <c r="C499" t="s">
        <v>474</v>
      </c>
      <c r="D499">
        <v>7045.29</v>
      </c>
      <c r="E499">
        <v>75257.06</v>
      </c>
      <c r="F499">
        <v>77705</v>
      </c>
      <c r="G499">
        <v>71216.479999999996</v>
      </c>
      <c r="H499">
        <v>71216.479999999996</v>
      </c>
      <c r="I499">
        <v>77705</v>
      </c>
      <c r="J499">
        <v>7045.29</v>
      </c>
      <c r="K499">
        <v>75257.06</v>
      </c>
      <c r="L499">
        <v>75733.22</v>
      </c>
      <c r="M499">
        <v>75733.22</v>
      </c>
      <c r="N499">
        <v>0</v>
      </c>
    </row>
    <row r="500" spans="1:14" ht="12.75" x14ac:dyDescent="0.2">
      <c r="A500">
        <v>6952</v>
      </c>
      <c r="B500" s="342">
        <v>37306</v>
      </c>
      <c r="C500" t="s">
        <v>127</v>
      </c>
      <c r="D500">
        <v>0</v>
      </c>
      <c r="E500">
        <v>4105.87</v>
      </c>
      <c r="F500">
        <v>13000</v>
      </c>
      <c r="G500">
        <v>1754.9</v>
      </c>
      <c r="H500">
        <v>1754.9</v>
      </c>
      <c r="I500">
        <v>13000</v>
      </c>
      <c r="J500">
        <v>0</v>
      </c>
      <c r="K500">
        <v>4105.87</v>
      </c>
      <c r="L500">
        <v>1754.9</v>
      </c>
      <c r="M500">
        <v>1754.9</v>
      </c>
      <c r="N500">
        <v>0</v>
      </c>
    </row>
    <row r="501" spans="1:14" ht="12.75" x14ac:dyDescent="0.2">
      <c r="A501">
        <v>6952</v>
      </c>
      <c r="B501" s="342">
        <v>37315</v>
      </c>
      <c r="C501" t="s">
        <v>793</v>
      </c>
      <c r="D501">
        <v>0</v>
      </c>
      <c r="E501">
        <v>0</v>
      </c>
      <c r="F501">
        <v>0</v>
      </c>
      <c r="G501">
        <v>0</v>
      </c>
      <c r="H501">
        <v>0</v>
      </c>
      <c r="I501">
        <v>0</v>
      </c>
      <c r="J501">
        <v>0</v>
      </c>
      <c r="K501">
        <v>0</v>
      </c>
      <c r="L501">
        <v>0</v>
      </c>
      <c r="M501">
        <v>0</v>
      </c>
      <c r="N501">
        <v>0</v>
      </c>
    </row>
    <row r="502" spans="1:14" ht="12.75" x14ac:dyDescent="0.2">
      <c r="A502">
        <v>6952</v>
      </c>
      <c r="B502" s="342">
        <v>37316</v>
      </c>
      <c r="C502" t="s">
        <v>794</v>
      </c>
      <c r="D502">
        <v>0</v>
      </c>
      <c r="E502">
        <v>485.87</v>
      </c>
      <c r="F502">
        <v>485</v>
      </c>
      <c r="G502">
        <v>410.43</v>
      </c>
      <c r="H502">
        <v>410.43</v>
      </c>
      <c r="I502">
        <v>485</v>
      </c>
      <c r="J502">
        <v>0</v>
      </c>
      <c r="K502">
        <v>485.87</v>
      </c>
      <c r="L502">
        <v>410.43</v>
      </c>
      <c r="M502">
        <v>410.43</v>
      </c>
      <c r="N502">
        <v>0</v>
      </c>
    </row>
    <row r="503" spans="1:14" ht="12.75" x14ac:dyDescent="0.2">
      <c r="A503">
        <v>6952</v>
      </c>
      <c r="B503" s="342">
        <v>37320</v>
      </c>
      <c r="C503" t="s">
        <v>372</v>
      </c>
      <c r="D503">
        <v>0</v>
      </c>
      <c r="E503">
        <v>607.5</v>
      </c>
      <c r="F503">
        <v>2000</v>
      </c>
      <c r="G503">
        <v>979.13</v>
      </c>
      <c r="H503">
        <v>979.13</v>
      </c>
      <c r="I503">
        <v>2000</v>
      </c>
      <c r="J503">
        <v>0</v>
      </c>
      <c r="K503">
        <v>607.5</v>
      </c>
      <c r="L503">
        <v>979.13</v>
      </c>
      <c r="M503">
        <v>979.13</v>
      </c>
      <c r="N503">
        <v>0</v>
      </c>
    </row>
    <row r="504" spans="1:14" ht="12.75" x14ac:dyDescent="0.2">
      <c r="A504">
        <v>6952</v>
      </c>
      <c r="B504" s="342">
        <v>37330</v>
      </c>
      <c r="C504" t="s">
        <v>326</v>
      </c>
      <c r="D504">
        <v>0</v>
      </c>
      <c r="E504">
        <v>0</v>
      </c>
      <c r="F504">
        <v>0</v>
      </c>
      <c r="G504">
        <v>0</v>
      </c>
      <c r="H504">
        <v>0</v>
      </c>
      <c r="I504">
        <v>0</v>
      </c>
      <c r="J504">
        <v>0</v>
      </c>
      <c r="K504">
        <v>0</v>
      </c>
      <c r="L504">
        <v>0</v>
      </c>
      <c r="M504">
        <v>0</v>
      </c>
      <c r="N504">
        <v>0</v>
      </c>
    </row>
    <row r="505" spans="1:14" ht="12.75" x14ac:dyDescent="0.2">
      <c r="A505">
        <v>6952</v>
      </c>
      <c r="B505" s="342">
        <v>37340</v>
      </c>
      <c r="C505" t="s">
        <v>276</v>
      </c>
      <c r="D505">
        <v>822.74</v>
      </c>
      <c r="E505">
        <v>7470.79</v>
      </c>
      <c r="F505">
        <v>18000</v>
      </c>
      <c r="G505">
        <v>13342.47</v>
      </c>
      <c r="H505">
        <v>13342.47</v>
      </c>
      <c r="I505">
        <v>18000</v>
      </c>
      <c r="J505">
        <v>822.74</v>
      </c>
      <c r="K505">
        <v>7658.2</v>
      </c>
      <c r="L505">
        <v>13342.47</v>
      </c>
      <c r="M505">
        <v>13342.47</v>
      </c>
      <c r="N505">
        <v>0</v>
      </c>
    </row>
    <row r="506" spans="1:14" ht="12.75" x14ac:dyDescent="0.2">
      <c r="A506">
        <v>6952</v>
      </c>
      <c r="B506" s="342">
        <v>37400</v>
      </c>
      <c r="C506" t="s">
        <v>329</v>
      </c>
      <c r="D506">
        <v>3781.37</v>
      </c>
      <c r="E506">
        <v>23469.34</v>
      </c>
      <c r="F506">
        <v>21572</v>
      </c>
      <c r="G506">
        <v>20876.93</v>
      </c>
      <c r="H506">
        <v>20876.93</v>
      </c>
      <c r="I506">
        <v>21572</v>
      </c>
      <c r="J506">
        <v>3781.37</v>
      </c>
      <c r="K506">
        <v>23469.34</v>
      </c>
      <c r="L506">
        <v>20876.93</v>
      </c>
      <c r="M506">
        <v>20876.93</v>
      </c>
      <c r="N506">
        <v>0</v>
      </c>
    </row>
    <row r="507" spans="1:14" ht="12.75" x14ac:dyDescent="0.2">
      <c r="A507">
        <v>6952</v>
      </c>
      <c r="B507" s="342">
        <v>37500</v>
      </c>
      <c r="C507" t="s">
        <v>329</v>
      </c>
      <c r="D507">
        <v>1525.55</v>
      </c>
      <c r="E507">
        <v>14522.3</v>
      </c>
      <c r="F507">
        <v>13283</v>
      </c>
      <c r="G507">
        <v>13938.56</v>
      </c>
      <c r="H507">
        <v>13938.56</v>
      </c>
      <c r="I507">
        <v>13283</v>
      </c>
      <c r="J507">
        <v>1525.55</v>
      </c>
      <c r="K507">
        <v>14522.3</v>
      </c>
      <c r="L507">
        <v>13938.56</v>
      </c>
      <c r="M507">
        <v>13938.56</v>
      </c>
      <c r="N507">
        <v>0</v>
      </c>
    </row>
    <row r="508" spans="1:14" ht="12.75" x14ac:dyDescent="0.2">
      <c r="A508">
        <v>6952</v>
      </c>
      <c r="B508" s="342">
        <v>37520</v>
      </c>
      <c r="C508" t="s">
        <v>322</v>
      </c>
      <c r="D508">
        <v>862</v>
      </c>
      <c r="E508">
        <v>2740.04</v>
      </c>
      <c r="F508">
        <v>20000</v>
      </c>
      <c r="G508">
        <v>19381.349999999999</v>
      </c>
      <c r="H508">
        <v>19381.349999999999</v>
      </c>
      <c r="I508">
        <v>20000</v>
      </c>
      <c r="J508">
        <v>862</v>
      </c>
      <c r="K508">
        <v>2740.04</v>
      </c>
      <c r="L508">
        <v>20810.55</v>
      </c>
      <c r="M508">
        <v>20810.55</v>
      </c>
      <c r="N508">
        <v>0</v>
      </c>
    </row>
    <row r="509" spans="1:14" ht="12.75" x14ac:dyDescent="0.2">
      <c r="A509">
        <v>6952</v>
      </c>
      <c r="B509" s="342">
        <v>37530</v>
      </c>
      <c r="C509" t="s">
        <v>685</v>
      </c>
      <c r="D509">
        <v>0</v>
      </c>
      <c r="E509">
        <v>83.12</v>
      </c>
      <c r="F509">
        <v>400</v>
      </c>
      <c r="G509">
        <v>496.54</v>
      </c>
      <c r="H509">
        <v>496.54</v>
      </c>
      <c r="I509">
        <v>400</v>
      </c>
      <c r="J509">
        <v>0</v>
      </c>
      <c r="K509">
        <v>83.12</v>
      </c>
      <c r="L509">
        <v>496.54</v>
      </c>
      <c r="M509">
        <v>496.54</v>
      </c>
      <c r="N509">
        <v>0</v>
      </c>
    </row>
    <row r="510" spans="1:14" ht="12.75" x14ac:dyDescent="0.2">
      <c r="A510">
        <v>6952</v>
      </c>
      <c r="B510" s="342">
        <v>37540</v>
      </c>
      <c r="C510" t="s">
        <v>619</v>
      </c>
      <c r="D510">
        <v>0</v>
      </c>
      <c r="E510">
        <v>339.8</v>
      </c>
      <c r="F510">
        <v>350</v>
      </c>
      <c r="G510">
        <v>0</v>
      </c>
      <c r="H510">
        <v>0</v>
      </c>
      <c r="I510">
        <v>350</v>
      </c>
      <c r="J510">
        <v>0</v>
      </c>
      <c r="K510">
        <v>339.8</v>
      </c>
      <c r="L510">
        <v>0</v>
      </c>
      <c r="M510">
        <v>0</v>
      </c>
      <c r="N510">
        <v>0</v>
      </c>
    </row>
    <row r="511" spans="1:14" ht="12.75" x14ac:dyDescent="0.2">
      <c r="A511">
        <v>6952</v>
      </c>
      <c r="B511" s="342">
        <v>37600</v>
      </c>
      <c r="C511" t="s">
        <v>336</v>
      </c>
      <c r="D511">
        <v>0</v>
      </c>
      <c r="E511">
        <v>2000</v>
      </c>
      <c r="F511">
        <v>2000</v>
      </c>
      <c r="G511">
        <v>1230</v>
      </c>
      <c r="H511">
        <v>1230</v>
      </c>
      <c r="I511">
        <v>2000</v>
      </c>
      <c r="J511">
        <v>0</v>
      </c>
      <c r="K511">
        <v>2000</v>
      </c>
      <c r="L511">
        <v>1230</v>
      </c>
      <c r="M511">
        <v>1230</v>
      </c>
      <c r="N511">
        <v>0</v>
      </c>
    </row>
    <row r="512" spans="1:14" ht="12.75" x14ac:dyDescent="0.2">
      <c r="A512">
        <v>6952</v>
      </c>
      <c r="B512" s="342">
        <v>37610</v>
      </c>
      <c r="C512" t="s">
        <v>618</v>
      </c>
      <c r="D512">
        <v>0</v>
      </c>
      <c r="E512">
        <v>699.67</v>
      </c>
      <c r="F512">
        <v>675</v>
      </c>
      <c r="G512">
        <v>675</v>
      </c>
      <c r="H512">
        <v>675</v>
      </c>
      <c r="I512">
        <v>675</v>
      </c>
      <c r="J512">
        <v>0</v>
      </c>
      <c r="K512">
        <v>699.67</v>
      </c>
      <c r="L512">
        <v>675</v>
      </c>
      <c r="M512">
        <v>675</v>
      </c>
      <c r="N512">
        <v>0</v>
      </c>
    </row>
    <row r="513" spans="1:14" ht="12.75" x14ac:dyDescent="0.2">
      <c r="A513">
        <v>6952</v>
      </c>
      <c r="B513" s="342">
        <v>37620</v>
      </c>
      <c r="C513" t="s">
        <v>333</v>
      </c>
      <c r="D513">
        <v>19.29</v>
      </c>
      <c r="E513">
        <v>262.83999999999997</v>
      </c>
      <c r="F513">
        <v>700</v>
      </c>
      <c r="G513">
        <v>618.95000000000005</v>
      </c>
      <c r="H513">
        <v>618.95000000000005</v>
      </c>
      <c r="I513">
        <v>700</v>
      </c>
      <c r="J513">
        <v>19.29</v>
      </c>
      <c r="K513">
        <v>262.83999999999997</v>
      </c>
      <c r="L513">
        <v>618.95000000000005</v>
      </c>
      <c r="M513">
        <v>618.95000000000005</v>
      </c>
      <c r="N513">
        <v>0</v>
      </c>
    </row>
    <row r="514" spans="1:14" ht="12.75" x14ac:dyDescent="0.2">
      <c r="A514">
        <v>6952</v>
      </c>
      <c r="B514" s="342">
        <v>37630</v>
      </c>
      <c r="C514" t="s">
        <v>334</v>
      </c>
      <c r="D514">
        <v>0</v>
      </c>
      <c r="E514">
        <v>0</v>
      </c>
      <c r="F514">
        <v>0</v>
      </c>
      <c r="G514">
        <v>0</v>
      </c>
      <c r="H514">
        <v>0</v>
      </c>
      <c r="I514">
        <v>0</v>
      </c>
      <c r="J514">
        <v>0</v>
      </c>
      <c r="K514">
        <v>0</v>
      </c>
      <c r="L514">
        <v>0</v>
      </c>
      <c r="M514">
        <v>0</v>
      </c>
      <c r="N514">
        <v>0</v>
      </c>
    </row>
    <row r="515" spans="1:14" ht="12.75" x14ac:dyDescent="0.2">
      <c r="A515">
        <v>6952</v>
      </c>
      <c r="B515" s="342">
        <v>37640</v>
      </c>
      <c r="C515" t="s">
        <v>335</v>
      </c>
      <c r="D515">
        <v>0</v>
      </c>
      <c r="E515">
        <v>0</v>
      </c>
      <c r="F515">
        <v>400</v>
      </c>
      <c r="G515">
        <v>0</v>
      </c>
      <c r="H515">
        <v>0</v>
      </c>
      <c r="I515">
        <v>400</v>
      </c>
      <c r="J515">
        <v>0</v>
      </c>
      <c r="K515">
        <v>0</v>
      </c>
      <c r="L515">
        <v>0</v>
      </c>
      <c r="M515">
        <v>0</v>
      </c>
      <c r="N515">
        <v>0</v>
      </c>
    </row>
    <row r="516" spans="1:14" ht="12.75" x14ac:dyDescent="0.2">
      <c r="A516">
        <v>6952</v>
      </c>
      <c r="B516" s="342">
        <v>37730</v>
      </c>
      <c r="C516" t="s">
        <v>128</v>
      </c>
      <c r="D516">
        <v>0</v>
      </c>
      <c r="E516">
        <v>0</v>
      </c>
      <c r="F516">
        <v>0</v>
      </c>
      <c r="G516">
        <v>17000</v>
      </c>
      <c r="H516">
        <v>17000</v>
      </c>
      <c r="I516">
        <v>0</v>
      </c>
      <c r="J516">
        <v>0</v>
      </c>
      <c r="K516">
        <v>0</v>
      </c>
      <c r="L516">
        <v>17000</v>
      </c>
      <c r="M516">
        <v>17000</v>
      </c>
      <c r="N516">
        <v>0</v>
      </c>
    </row>
    <row r="517" spans="1:14" ht="12.75" x14ac:dyDescent="0.2">
      <c r="A517">
        <v>6952</v>
      </c>
      <c r="B517" s="342">
        <v>37731</v>
      </c>
      <c r="C517" t="s">
        <v>1051</v>
      </c>
      <c r="D517">
        <v>0</v>
      </c>
      <c r="E517">
        <v>0</v>
      </c>
      <c r="F517">
        <v>2000</v>
      </c>
      <c r="G517">
        <v>0</v>
      </c>
      <c r="H517">
        <v>0</v>
      </c>
      <c r="I517">
        <v>2000</v>
      </c>
      <c r="J517">
        <v>0</v>
      </c>
      <c r="K517">
        <v>0</v>
      </c>
      <c r="L517">
        <v>0</v>
      </c>
      <c r="M517">
        <v>0</v>
      </c>
      <c r="N517">
        <v>0</v>
      </c>
    </row>
    <row r="518" spans="1:14" ht="12.75" x14ac:dyDescent="0.2">
      <c r="A518">
        <v>6952</v>
      </c>
      <c r="B518" s="342">
        <v>37735</v>
      </c>
      <c r="C518" t="s">
        <v>129</v>
      </c>
      <c r="D518">
        <v>0</v>
      </c>
      <c r="E518">
        <v>0</v>
      </c>
      <c r="F518">
        <v>0</v>
      </c>
      <c r="G518">
        <v>0</v>
      </c>
      <c r="H518">
        <v>0</v>
      </c>
      <c r="I518">
        <v>0</v>
      </c>
      <c r="J518">
        <v>0</v>
      </c>
      <c r="K518">
        <v>0</v>
      </c>
      <c r="L518">
        <v>0</v>
      </c>
      <c r="M518">
        <v>0</v>
      </c>
      <c r="N518">
        <v>0</v>
      </c>
    </row>
    <row r="519" spans="1:14" ht="12.75" x14ac:dyDescent="0.2">
      <c r="A519">
        <v>6952</v>
      </c>
      <c r="B519" s="342">
        <v>37740</v>
      </c>
      <c r="C519" t="s">
        <v>130</v>
      </c>
      <c r="D519">
        <v>0</v>
      </c>
      <c r="E519">
        <v>17000</v>
      </c>
      <c r="F519">
        <v>71043</v>
      </c>
      <c r="G519">
        <v>0</v>
      </c>
      <c r="H519">
        <v>0</v>
      </c>
      <c r="I519">
        <v>71043</v>
      </c>
      <c r="J519">
        <v>0</v>
      </c>
      <c r="K519">
        <v>17000</v>
      </c>
      <c r="L519">
        <v>0</v>
      </c>
      <c r="M519">
        <v>0</v>
      </c>
      <c r="N519">
        <v>0</v>
      </c>
    </row>
    <row r="520" spans="1:14" ht="12.75" x14ac:dyDescent="0.2">
      <c r="A520">
        <v>6952</v>
      </c>
      <c r="B520" s="342">
        <v>37745</v>
      </c>
      <c r="C520" t="s">
        <v>131</v>
      </c>
      <c r="D520">
        <v>0</v>
      </c>
      <c r="E520">
        <v>0</v>
      </c>
      <c r="F520">
        <v>0</v>
      </c>
      <c r="G520">
        <v>155.43</v>
      </c>
      <c r="H520">
        <v>155.43</v>
      </c>
      <c r="I520">
        <v>0</v>
      </c>
      <c r="J520">
        <v>0</v>
      </c>
      <c r="K520">
        <v>0</v>
      </c>
      <c r="L520">
        <v>155.43</v>
      </c>
      <c r="M520">
        <v>155.43</v>
      </c>
      <c r="N520">
        <v>0</v>
      </c>
    </row>
    <row r="521" spans="1:14" ht="12.75" x14ac:dyDescent="0.2">
      <c r="A521">
        <v>6952</v>
      </c>
      <c r="B521">
        <v>37746</v>
      </c>
      <c r="C521" t="s">
        <v>1670</v>
      </c>
      <c r="D521">
        <v>0</v>
      </c>
      <c r="E521">
        <v>0</v>
      </c>
      <c r="F521">
        <v>0</v>
      </c>
      <c r="G521">
        <v>0</v>
      </c>
      <c r="H521">
        <v>0</v>
      </c>
      <c r="I521">
        <v>0</v>
      </c>
      <c r="J521">
        <v>0</v>
      </c>
      <c r="K521">
        <v>0</v>
      </c>
      <c r="L521">
        <v>0</v>
      </c>
      <c r="M521">
        <v>0</v>
      </c>
      <c r="N521">
        <v>0</v>
      </c>
    </row>
    <row r="522" spans="1:14" ht="12.75" x14ac:dyDescent="0.2">
      <c r="A522">
        <v>6952</v>
      </c>
      <c r="B522" s="342">
        <v>37750</v>
      </c>
      <c r="C522" t="s">
        <v>132</v>
      </c>
      <c r="D522">
        <v>0</v>
      </c>
      <c r="E522">
        <v>0</v>
      </c>
      <c r="F522">
        <v>0</v>
      </c>
      <c r="G522">
        <v>0</v>
      </c>
      <c r="H522">
        <v>0</v>
      </c>
      <c r="I522">
        <v>0</v>
      </c>
      <c r="J522">
        <v>0</v>
      </c>
      <c r="K522">
        <v>0</v>
      </c>
      <c r="L522">
        <v>0</v>
      </c>
      <c r="M522">
        <v>0</v>
      </c>
      <c r="N522">
        <v>0</v>
      </c>
    </row>
    <row r="523" spans="1:14" ht="12.75" x14ac:dyDescent="0.2">
      <c r="A523">
        <v>6952</v>
      </c>
      <c r="B523">
        <v>37900</v>
      </c>
      <c r="C523" t="s">
        <v>329</v>
      </c>
      <c r="D523">
        <v>0</v>
      </c>
      <c r="E523">
        <v>0</v>
      </c>
      <c r="F523">
        <v>0</v>
      </c>
      <c r="G523">
        <v>0</v>
      </c>
      <c r="H523">
        <v>0</v>
      </c>
      <c r="I523">
        <v>0</v>
      </c>
      <c r="J523">
        <v>0</v>
      </c>
      <c r="K523">
        <v>0</v>
      </c>
      <c r="L523">
        <v>0</v>
      </c>
      <c r="M523">
        <v>0</v>
      </c>
      <c r="N523">
        <v>0</v>
      </c>
    </row>
    <row r="524" spans="1:14" ht="12.75" x14ac:dyDescent="0.2">
      <c r="A524">
        <v>6952</v>
      </c>
      <c r="B524">
        <v>37945</v>
      </c>
      <c r="C524" t="s">
        <v>795</v>
      </c>
      <c r="D524">
        <v>0</v>
      </c>
      <c r="E524">
        <v>0</v>
      </c>
      <c r="F524">
        <v>0</v>
      </c>
      <c r="G524">
        <v>0</v>
      </c>
      <c r="H524">
        <v>0</v>
      </c>
      <c r="I524">
        <v>0</v>
      </c>
      <c r="J524">
        <v>0</v>
      </c>
      <c r="K524">
        <v>0</v>
      </c>
      <c r="L524">
        <v>0</v>
      </c>
      <c r="M524">
        <v>0</v>
      </c>
      <c r="N524">
        <v>0</v>
      </c>
    </row>
    <row r="525" spans="1:14" ht="12.75" x14ac:dyDescent="0.2">
      <c r="A525">
        <v>6952</v>
      </c>
      <c r="B525">
        <v>37960</v>
      </c>
      <c r="C525" t="s">
        <v>354</v>
      </c>
      <c r="D525">
        <v>0</v>
      </c>
      <c r="E525">
        <v>0</v>
      </c>
      <c r="F525">
        <v>0</v>
      </c>
      <c r="G525">
        <v>0</v>
      </c>
      <c r="H525">
        <v>0</v>
      </c>
      <c r="I525">
        <v>0</v>
      </c>
      <c r="J525">
        <v>0</v>
      </c>
      <c r="K525">
        <v>0</v>
      </c>
      <c r="L525">
        <v>0</v>
      </c>
      <c r="M525">
        <v>0</v>
      </c>
      <c r="N525">
        <v>0</v>
      </c>
    </row>
    <row r="526" spans="1:14" ht="12.75" x14ac:dyDescent="0.2">
      <c r="A526">
        <v>6952</v>
      </c>
      <c r="B526" s="342">
        <v>37965</v>
      </c>
      <c r="C526" t="s">
        <v>796</v>
      </c>
      <c r="D526">
        <v>0</v>
      </c>
      <c r="E526">
        <v>0</v>
      </c>
      <c r="F526">
        <v>0</v>
      </c>
      <c r="G526">
        <v>0</v>
      </c>
      <c r="H526">
        <v>0</v>
      </c>
      <c r="I526">
        <v>0</v>
      </c>
      <c r="J526">
        <v>0</v>
      </c>
      <c r="K526">
        <v>0</v>
      </c>
      <c r="L526">
        <v>0</v>
      </c>
      <c r="M526">
        <v>0</v>
      </c>
      <c r="N526">
        <v>0</v>
      </c>
    </row>
    <row r="527" spans="1:14" ht="12.75" x14ac:dyDescent="0.2">
      <c r="A527">
        <v>6952</v>
      </c>
      <c r="B527" s="342">
        <v>38010</v>
      </c>
      <c r="C527" t="s">
        <v>797</v>
      </c>
      <c r="D527">
        <v>1093.48</v>
      </c>
      <c r="E527">
        <v>1854.54</v>
      </c>
      <c r="F527">
        <v>2000</v>
      </c>
      <c r="G527">
        <v>83.04</v>
      </c>
      <c r="H527">
        <v>83.04</v>
      </c>
      <c r="I527">
        <v>2000</v>
      </c>
      <c r="J527">
        <v>1093.48</v>
      </c>
      <c r="K527">
        <v>1854.54</v>
      </c>
      <c r="L527">
        <v>83.04</v>
      </c>
      <c r="M527">
        <v>83.04</v>
      </c>
      <c r="N527">
        <v>0</v>
      </c>
    </row>
    <row r="528" spans="1:14" ht="12.75" x14ac:dyDescent="0.2">
      <c r="A528">
        <v>6952</v>
      </c>
      <c r="B528" s="342">
        <v>38011</v>
      </c>
      <c r="C528" t="s">
        <v>1129</v>
      </c>
      <c r="D528">
        <v>104.17</v>
      </c>
      <c r="E528">
        <v>125.82</v>
      </c>
      <c r="F528">
        <v>500</v>
      </c>
      <c r="G528">
        <v>765.59</v>
      </c>
      <c r="H528">
        <v>765.59</v>
      </c>
      <c r="I528">
        <v>500</v>
      </c>
      <c r="J528">
        <v>104.17</v>
      </c>
      <c r="K528">
        <v>125.82</v>
      </c>
      <c r="L528">
        <v>765.59</v>
      </c>
      <c r="M528">
        <v>765.59</v>
      </c>
      <c r="N528">
        <v>0</v>
      </c>
    </row>
    <row r="529" spans="1:14" ht="12.75" x14ac:dyDescent="0.2">
      <c r="A529">
        <v>6952</v>
      </c>
      <c r="B529" s="342">
        <v>38012</v>
      </c>
      <c r="C529" t="s">
        <v>1130</v>
      </c>
      <c r="D529">
        <v>0</v>
      </c>
      <c r="E529">
        <v>6860.59</v>
      </c>
      <c r="F529">
        <v>0</v>
      </c>
      <c r="G529">
        <v>0</v>
      </c>
      <c r="H529">
        <v>0</v>
      </c>
      <c r="I529">
        <v>0</v>
      </c>
      <c r="J529">
        <v>0</v>
      </c>
      <c r="K529">
        <v>6860.59</v>
      </c>
      <c r="L529">
        <v>0</v>
      </c>
      <c r="M529">
        <v>0</v>
      </c>
      <c r="N529">
        <v>0</v>
      </c>
    </row>
    <row r="530" spans="1:14" ht="12.75" x14ac:dyDescent="0.2">
      <c r="A530">
        <v>6952</v>
      </c>
      <c r="B530" s="342">
        <v>38020</v>
      </c>
      <c r="C530" t="s">
        <v>798</v>
      </c>
      <c r="D530">
        <v>5003.28</v>
      </c>
      <c r="E530">
        <v>29967.47</v>
      </c>
      <c r="F530">
        <v>30000</v>
      </c>
      <c r="G530">
        <v>26766.48</v>
      </c>
      <c r="H530">
        <v>26766.48</v>
      </c>
      <c r="I530">
        <v>30000</v>
      </c>
      <c r="J530">
        <v>5003.28</v>
      </c>
      <c r="K530">
        <v>30263.53</v>
      </c>
      <c r="L530">
        <v>26766.48</v>
      </c>
      <c r="M530">
        <v>26766.48</v>
      </c>
      <c r="N530">
        <v>0</v>
      </c>
    </row>
    <row r="531" spans="1:14" ht="12.75" x14ac:dyDescent="0.2">
      <c r="A531">
        <v>6952</v>
      </c>
      <c r="B531" s="342">
        <v>38030</v>
      </c>
      <c r="C531" t="s">
        <v>799</v>
      </c>
      <c r="D531">
        <v>1039.51</v>
      </c>
      <c r="E531">
        <v>8012.69</v>
      </c>
      <c r="F531">
        <v>1800</v>
      </c>
      <c r="G531">
        <v>2208.63</v>
      </c>
      <c r="H531">
        <v>2208.63</v>
      </c>
      <c r="I531">
        <v>1800</v>
      </c>
      <c r="J531">
        <v>1039.51</v>
      </c>
      <c r="K531">
        <v>8203.99</v>
      </c>
      <c r="L531">
        <v>2208.63</v>
      </c>
      <c r="M531">
        <v>2208.63</v>
      </c>
      <c r="N531">
        <v>0</v>
      </c>
    </row>
    <row r="532" spans="1:14" ht="12.75" x14ac:dyDescent="0.2">
      <c r="A532">
        <v>6952</v>
      </c>
      <c r="B532" s="342">
        <v>38035</v>
      </c>
      <c r="C532" t="s">
        <v>406</v>
      </c>
      <c r="D532">
        <v>0</v>
      </c>
      <c r="E532">
        <v>0</v>
      </c>
      <c r="F532">
        <v>0</v>
      </c>
      <c r="G532">
        <v>0</v>
      </c>
      <c r="H532">
        <v>0</v>
      </c>
      <c r="I532">
        <v>0</v>
      </c>
      <c r="J532">
        <v>0</v>
      </c>
      <c r="K532">
        <v>0</v>
      </c>
      <c r="L532">
        <v>0</v>
      </c>
      <c r="M532">
        <v>0</v>
      </c>
      <c r="N532">
        <v>0</v>
      </c>
    </row>
    <row r="533" spans="1:14" ht="12.75" x14ac:dyDescent="0.2">
      <c r="A533">
        <v>6952</v>
      </c>
      <c r="B533" s="342">
        <v>38040</v>
      </c>
      <c r="C533" t="s">
        <v>800</v>
      </c>
      <c r="D533">
        <v>0</v>
      </c>
      <c r="E533">
        <v>0</v>
      </c>
      <c r="F533">
        <v>0</v>
      </c>
      <c r="G533">
        <v>0</v>
      </c>
      <c r="H533">
        <v>0</v>
      </c>
      <c r="I533">
        <v>0</v>
      </c>
      <c r="J533">
        <v>0</v>
      </c>
      <c r="K533">
        <v>0</v>
      </c>
      <c r="L533">
        <v>0</v>
      </c>
      <c r="M533">
        <v>0</v>
      </c>
      <c r="N533">
        <v>0</v>
      </c>
    </row>
    <row r="534" spans="1:14" ht="12.75" x14ac:dyDescent="0.2">
      <c r="A534">
        <v>6952</v>
      </c>
      <c r="B534" s="342">
        <v>38050</v>
      </c>
      <c r="C534" t="s">
        <v>801</v>
      </c>
      <c r="D534">
        <v>0</v>
      </c>
      <c r="E534">
        <v>1648.19</v>
      </c>
      <c r="F534">
        <v>1500</v>
      </c>
      <c r="G534">
        <v>1578.51</v>
      </c>
      <c r="H534">
        <v>1578.51</v>
      </c>
      <c r="I534">
        <v>1500</v>
      </c>
      <c r="J534">
        <v>0</v>
      </c>
      <c r="K534">
        <v>1648.19</v>
      </c>
      <c r="L534">
        <v>1578.51</v>
      </c>
      <c r="M534">
        <v>1578.51</v>
      </c>
      <c r="N534">
        <v>0</v>
      </c>
    </row>
    <row r="535" spans="1:14" ht="12.75" x14ac:dyDescent="0.2">
      <c r="A535">
        <v>6952</v>
      </c>
      <c r="B535" s="342">
        <v>38055</v>
      </c>
      <c r="C535" t="s">
        <v>1553</v>
      </c>
      <c r="D535">
        <v>3916.98</v>
      </c>
      <c r="E535">
        <v>31482.68</v>
      </c>
      <c r="F535">
        <v>33000</v>
      </c>
      <c r="G535">
        <v>0</v>
      </c>
      <c r="H535">
        <v>0</v>
      </c>
      <c r="I535">
        <v>33000</v>
      </c>
      <c r="J535">
        <v>3916.98</v>
      </c>
      <c r="K535">
        <v>31482.68</v>
      </c>
      <c r="L535">
        <v>0</v>
      </c>
      <c r="M535">
        <v>0</v>
      </c>
      <c r="N535">
        <v>0</v>
      </c>
    </row>
    <row r="536" spans="1:14" ht="12.75" x14ac:dyDescent="0.2">
      <c r="A536">
        <v>6952</v>
      </c>
      <c r="B536" s="342">
        <v>38070</v>
      </c>
      <c r="C536" t="s">
        <v>802</v>
      </c>
      <c r="D536">
        <v>0</v>
      </c>
      <c r="E536">
        <v>0</v>
      </c>
      <c r="F536">
        <v>0</v>
      </c>
      <c r="G536">
        <v>0</v>
      </c>
      <c r="H536">
        <v>0</v>
      </c>
      <c r="I536">
        <v>0</v>
      </c>
      <c r="J536">
        <v>0</v>
      </c>
      <c r="K536">
        <v>0</v>
      </c>
      <c r="L536">
        <v>0</v>
      </c>
      <c r="M536">
        <v>0</v>
      </c>
      <c r="N536">
        <v>0</v>
      </c>
    </row>
    <row r="537" spans="1:14" ht="12.75" x14ac:dyDescent="0.2">
      <c r="A537">
        <v>6952</v>
      </c>
      <c r="B537" s="342">
        <v>38080</v>
      </c>
      <c r="C537" t="s">
        <v>803</v>
      </c>
      <c r="D537">
        <v>0</v>
      </c>
      <c r="E537">
        <v>3613.87</v>
      </c>
      <c r="F537">
        <v>4400</v>
      </c>
      <c r="G537">
        <v>2539.0500000000002</v>
      </c>
      <c r="H537">
        <v>2539.0500000000002</v>
      </c>
      <c r="I537">
        <v>4400</v>
      </c>
      <c r="J537">
        <v>0</v>
      </c>
      <c r="K537">
        <v>3613.87</v>
      </c>
      <c r="L537">
        <v>2539.0500000000002</v>
      </c>
      <c r="M537">
        <v>2539.0500000000002</v>
      </c>
      <c r="N537">
        <v>0</v>
      </c>
    </row>
    <row r="538" spans="1:14" ht="12.75" x14ac:dyDescent="0.2">
      <c r="A538">
        <v>6952</v>
      </c>
      <c r="B538" s="342">
        <v>38090</v>
      </c>
      <c r="C538" t="s">
        <v>51</v>
      </c>
      <c r="D538">
        <v>0</v>
      </c>
      <c r="E538">
        <v>0</v>
      </c>
      <c r="F538">
        <v>0</v>
      </c>
      <c r="G538">
        <v>19487.599999999999</v>
      </c>
      <c r="H538">
        <v>19487.599999999999</v>
      </c>
      <c r="I538">
        <v>0</v>
      </c>
      <c r="J538">
        <v>0</v>
      </c>
      <c r="K538">
        <v>0</v>
      </c>
      <c r="L538">
        <v>0</v>
      </c>
      <c r="M538">
        <v>0</v>
      </c>
      <c r="N538">
        <v>0</v>
      </c>
    </row>
    <row r="539" spans="1:14" ht="12.75" x14ac:dyDescent="0.2">
      <c r="A539">
        <v>6952</v>
      </c>
      <c r="B539" s="342">
        <v>38095</v>
      </c>
      <c r="C539" t="s">
        <v>888</v>
      </c>
      <c r="D539">
        <v>0</v>
      </c>
      <c r="E539">
        <v>10033.969999999999</v>
      </c>
      <c r="F539">
        <v>8800</v>
      </c>
      <c r="G539">
        <v>4561.03</v>
      </c>
      <c r="H539">
        <v>4561.03</v>
      </c>
      <c r="I539">
        <v>8800</v>
      </c>
      <c r="J539">
        <v>0</v>
      </c>
      <c r="K539">
        <v>10033.969999999999</v>
      </c>
      <c r="L539">
        <v>4561.03</v>
      </c>
      <c r="M539">
        <v>4561.03</v>
      </c>
      <c r="N539">
        <v>0</v>
      </c>
    </row>
    <row r="540" spans="1:14" ht="12.75" x14ac:dyDescent="0.2">
      <c r="A540">
        <v>6952</v>
      </c>
      <c r="B540">
        <v>38200</v>
      </c>
      <c r="C540" t="s">
        <v>1306</v>
      </c>
      <c r="D540">
        <v>0</v>
      </c>
      <c r="E540">
        <v>0</v>
      </c>
      <c r="F540">
        <v>0</v>
      </c>
      <c r="G540">
        <v>0</v>
      </c>
      <c r="H540">
        <v>0</v>
      </c>
      <c r="I540">
        <v>0</v>
      </c>
      <c r="J540">
        <v>0</v>
      </c>
      <c r="K540">
        <v>0</v>
      </c>
      <c r="L540">
        <v>0</v>
      </c>
      <c r="M540">
        <v>0</v>
      </c>
      <c r="N540">
        <v>0</v>
      </c>
    </row>
    <row r="541" spans="1:14" ht="12.75" x14ac:dyDescent="0.2">
      <c r="A541">
        <v>6952</v>
      </c>
      <c r="B541" s="342">
        <v>38220</v>
      </c>
      <c r="C541" t="s">
        <v>133</v>
      </c>
      <c r="D541">
        <v>106725.92</v>
      </c>
      <c r="E541">
        <v>734059.67</v>
      </c>
      <c r="F541">
        <v>746727</v>
      </c>
      <c r="G541">
        <v>574857.65</v>
      </c>
      <c r="H541">
        <v>574857.65</v>
      </c>
      <c r="I541">
        <v>746727</v>
      </c>
      <c r="J541">
        <v>106725.92</v>
      </c>
      <c r="K541">
        <v>763115.79</v>
      </c>
      <c r="L541">
        <v>682918.99</v>
      </c>
      <c r="M541">
        <v>682918.99</v>
      </c>
      <c r="N541">
        <v>0</v>
      </c>
    </row>
    <row r="542" spans="1:14" ht="12.75" x14ac:dyDescent="0.2">
      <c r="A542">
        <v>6952</v>
      </c>
      <c r="B542" s="342">
        <v>38221</v>
      </c>
      <c r="C542" t="s">
        <v>134</v>
      </c>
      <c r="D542">
        <v>10169.85</v>
      </c>
      <c r="E542">
        <v>77497.42</v>
      </c>
      <c r="F542">
        <v>76162</v>
      </c>
      <c r="G542">
        <v>68307.37</v>
      </c>
      <c r="H542">
        <v>68307.37</v>
      </c>
      <c r="I542">
        <v>76162</v>
      </c>
      <c r="J542">
        <v>10169.85</v>
      </c>
      <c r="K542">
        <v>77517.83</v>
      </c>
      <c r="L542">
        <v>69047.8</v>
      </c>
      <c r="M542">
        <v>69047.8</v>
      </c>
      <c r="N542">
        <v>0</v>
      </c>
    </row>
    <row r="543" spans="1:14" ht="12.75" x14ac:dyDescent="0.2">
      <c r="A543">
        <v>6952</v>
      </c>
      <c r="B543" s="342">
        <v>38222</v>
      </c>
      <c r="C543" t="s">
        <v>135</v>
      </c>
      <c r="D543">
        <v>526.96</v>
      </c>
      <c r="E543">
        <v>6817</v>
      </c>
      <c r="F543">
        <v>7500</v>
      </c>
      <c r="G543">
        <v>6457.18</v>
      </c>
      <c r="H543">
        <v>6457.18</v>
      </c>
      <c r="I543">
        <v>7500</v>
      </c>
      <c r="J543">
        <v>526.96</v>
      </c>
      <c r="K543">
        <v>6817</v>
      </c>
      <c r="L543">
        <v>6457.18</v>
      </c>
      <c r="M543">
        <v>6457.18</v>
      </c>
      <c r="N543">
        <v>0</v>
      </c>
    </row>
    <row r="544" spans="1:14" ht="12.75" x14ac:dyDescent="0.2">
      <c r="A544">
        <v>6952</v>
      </c>
      <c r="B544" s="342">
        <v>38250</v>
      </c>
      <c r="C544" t="s">
        <v>325</v>
      </c>
      <c r="D544">
        <v>0</v>
      </c>
      <c r="E544">
        <v>3010.43</v>
      </c>
      <c r="F544">
        <v>3880</v>
      </c>
      <c r="G544">
        <v>3227.83</v>
      </c>
      <c r="H544">
        <v>3227.83</v>
      </c>
      <c r="I544">
        <v>3880</v>
      </c>
      <c r="J544">
        <v>0</v>
      </c>
      <c r="K544">
        <v>3010.43</v>
      </c>
      <c r="L544">
        <v>3227.83</v>
      </c>
      <c r="M544">
        <v>3227.83</v>
      </c>
      <c r="N544">
        <v>0</v>
      </c>
    </row>
    <row r="545" spans="1:14" ht="12.75" x14ac:dyDescent="0.2">
      <c r="A545">
        <v>6952</v>
      </c>
      <c r="B545" s="342">
        <v>38260</v>
      </c>
      <c r="C545" t="s">
        <v>677</v>
      </c>
      <c r="D545">
        <v>555.47</v>
      </c>
      <c r="E545">
        <v>1320.16</v>
      </c>
      <c r="F545">
        <v>1500</v>
      </c>
      <c r="G545">
        <v>1478.24</v>
      </c>
      <c r="H545">
        <v>1478.24</v>
      </c>
      <c r="I545">
        <v>1500</v>
      </c>
      <c r="J545">
        <v>555.47</v>
      </c>
      <c r="K545">
        <v>1535.16</v>
      </c>
      <c r="L545">
        <v>1478.24</v>
      </c>
      <c r="M545">
        <v>1478.24</v>
      </c>
      <c r="N545">
        <v>0</v>
      </c>
    </row>
    <row r="546" spans="1:14" ht="12.75" x14ac:dyDescent="0.2">
      <c r="A546">
        <v>6952</v>
      </c>
      <c r="B546" s="342">
        <v>38270</v>
      </c>
      <c r="C546" t="s">
        <v>804</v>
      </c>
      <c r="D546">
        <v>442.35</v>
      </c>
      <c r="E546">
        <v>24737.93</v>
      </c>
      <c r="F546">
        <v>18200</v>
      </c>
      <c r="G546">
        <v>21356.51</v>
      </c>
      <c r="H546">
        <v>21356.51</v>
      </c>
      <c r="I546">
        <v>18200</v>
      </c>
      <c r="J546">
        <v>442.35</v>
      </c>
      <c r="K546">
        <v>24902.080000000002</v>
      </c>
      <c r="L546">
        <v>21356.51</v>
      </c>
      <c r="M546">
        <v>21356.51</v>
      </c>
      <c r="N546">
        <v>0</v>
      </c>
    </row>
    <row r="547" spans="1:14" ht="12.75" x14ac:dyDescent="0.2">
      <c r="A547">
        <v>6952</v>
      </c>
      <c r="B547" s="342">
        <v>38280</v>
      </c>
      <c r="C547" t="s">
        <v>805</v>
      </c>
      <c r="D547">
        <v>0</v>
      </c>
      <c r="E547">
        <v>0</v>
      </c>
      <c r="F547">
        <v>500</v>
      </c>
      <c r="G547">
        <v>106.12</v>
      </c>
      <c r="H547">
        <v>106.12</v>
      </c>
      <c r="I547">
        <v>500</v>
      </c>
      <c r="J547">
        <v>0</v>
      </c>
      <c r="K547">
        <v>0</v>
      </c>
      <c r="L547">
        <v>106.12</v>
      </c>
      <c r="M547">
        <v>106.12</v>
      </c>
      <c r="N547">
        <v>0</v>
      </c>
    </row>
    <row r="548" spans="1:14" ht="12.75" x14ac:dyDescent="0.2">
      <c r="A548">
        <v>6952</v>
      </c>
      <c r="B548" s="342">
        <v>38300</v>
      </c>
      <c r="C548" t="s">
        <v>619</v>
      </c>
      <c r="D548">
        <v>0</v>
      </c>
      <c r="E548">
        <v>187</v>
      </c>
      <c r="F548">
        <v>0</v>
      </c>
      <c r="G548">
        <v>138.30000000000001</v>
      </c>
      <c r="H548">
        <v>138.30000000000001</v>
      </c>
      <c r="I548">
        <v>0</v>
      </c>
      <c r="J548">
        <v>0</v>
      </c>
      <c r="K548">
        <v>187</v>
      </c>
      <c r="L548">
        <v>138.30000000000001</v>
      </c>
      <c r="M548">
        <v>138.30000000000001</v>
      </c>
      <c r="N548">
        <v>0</v>
      </c>
    </row>
    <row r="549" spans="1:14" ht="12.75" x14ac:dyDescent="0.2">
      <c r="A549">
        <v>6952</v>
      </c>
      <c r="B549" s="342">
        <v>38307</v>
      </c>
      <c r="C549" t="s">
        <v>806</v>
      </c>
      <c r="D549">
        <v>0</v>
      </c>
      <c r="E549">
        <v>0</v>
      </c>
      <c r="F549">
        <v>0</v>
      </c>
      <c r="G549">
        <v>0</v>
      </c>
      <c r="H549">
        <v>0</v>
      </c>
      <c r="I549">
        <v>0</v>
      </c>
      <c r="J549">
        <v>0</v>
      </c>
      <c r="K549">
        <v>0</v>
      </c>
      <c r="L549">
        <v>0</v>
      </c>
      <c r="M549">
        <v>0</v>
      </c>
      <c r="N549">
        <v>0</v>
      </c>
    </row>
    <row r="550" spans="1:14" ht="12.75" x14ac:dyDescent="0.2">
      <c r="A550">
        <v>6952</v>
      </c>
      <c r="B550" s="342">
        <v>38310</v>
      </c>
      <c r="C550" t="s">
        <v>313</v>
      </c>
      <c r="D550">
        <v>0</v>
      </c>
      <c r="E550">
        <v>0</v>
      </c>
      <c r="F550">
        <v>0</v>
      </c>
      <c r="G550">
        <v>0</v>
      </c>
      <c r="H550">
        <v>0</v>
      </c>
      <c r="I550">
        <v>0</v>
      </c>
      <c r="J550">
        <v>0</v>
      </c>
      <c r="K550">
        <v>0</v>
      </c>
      <c r="L550">
        <v>0</v>
      </c>
      <c r="M550">
        <v>0</v>
      </c>
      <c r="N550">
        <v>0</v>
      </c>
    </row>
    <row r="551" spans="1:14" ht="12.75" x14ac:dyDescent="0.2">
      <c r="A551">
        <v>6952</v>
      </c>
      <c r="B551" s="342">
        <v>38320</v>
      </c>
      <c r="C551" t="s">
        <v>320</v>
      </c>
      <c r="D551">
        <v>22.77</v>
      </c>
      <c r="E551">
        <v>85.63</v>
      </c>
      <c r="F551">
        <v>0</v>
      </c>
      <c r="G551">
        <v>125.99</v>
      </c>
      <c r="H551">
        <v>125.99</v>
      </c>
      <c r="I551">
        <v>0</v>
      </c>
      <c r="J551">
        <v>22.77</v>
      </c>
      <c r="K551">
        <v>85.63</v>
      </c>
      <c r="L551">
        <v>125.99</v>
      </c>
      <c r="M551">
        <v>125.99</v>
      </c>
      <c r="N551">
        <v>0</v>
      </c>
    </row>
    <row r="552" spans="1:14" ht="12.75" x14ac:dyDescent="0.2">
      <c r="A552">
        <v>6952</v>
      </c>
      <c r="B552" s="342">
        <v>38340</v>
      </c>
      <c r="C552" t="s">
        <v>319</v>
      </c>
      <c r="D552">
        <v>0</v>
      </c>
      <c r="E552">
        <v>0</v>
      </c>
      <c r="F552">
        <v>0</v>
      </c>
      <c r="G552">
        <v>0</v>
      </c>
      <c r="H552">
        <v>0</v>
      </c>
      <c r="I552">
        <v>0</v>
      </c>
      <c r="J552">
        <v>0</v>
      </c>
      <c r="K552">
        <v>0</v>
      </c>
      <c r="L552">
        <v>0</v>
      </c>
      <c r="M552">
        <v>0</v>
      </c>
      <c r="N552">
        <v>0</v>
      </c>
    </row>
    <row r="553" spans="1:14" ht="12.75" x14ac:dyDescent="0.2">
      <c r="A553">
        <v>6952</v>
      </c>
      <c r="B553" s="342">
        <v>38350</v>
      </c>
      <c r="C553" t="s">
        <v>370</v>
      </c>
      <c r="D553">
        <v>0</v>
      </c>
      <c r="E553">
        <v>0</v>
      </c>
      <c r="F553">
        <v>0</v>
      </c>
      <c r="G553">
        <v>0</v>
      </c>
      <c r="H553">
        <v>0</v>
      </c>
      <c r="I553">
        <v>0</v>
      </c>
      <c r="J553">
        <v>0</v>
      </c>
      <c r="K553">
        <v>0</v>
      </c>
      <c r="L553">
        <v>0</v>
      </c>
      <c r="M553">
        <v>0</v>
      </c>
      <c r="N553">
        <v>0</v>
      </c>
    </row>
    <row r="554" spans="1:14" ht="12.75" x14ac:dyDescent="0.2">
      <c r="A554">
        <v>6952</v>
      </c>
      <c r="B554" s="342">
        <v>38370</v>
      </c>
      <c r="C554" t="s">
        <v>807</v>
      </c>
      <c r="D554">
        <v>0</v>
      </c>
      <c r="E554">
        <v>0</v>
      </c>
      <c r="F554">
        <v>0</v>
      </c>
      <c r="G554">
        <v>5962.85</v>
      </c>
      <c r="H554">
        <v>5962.85</v>
      </c>
      <c r="I554">
        <v>0</v>
      </c>
      <c r="J554">
        <v>0</v>
      </c>
      <c r="K554">
        <v>0</v>
      </c>
      <c r="L554">
        <v>5962.85</v>
      </c>
      <c r="M554">
        <v>5962.85</v>
      </c>
      <c r="N554">
        <v>0</v>
      </c>
    </row>
    <row r="555" spans="1:14" ht="12.75" x14ac:dyDescent="0.2">
      <c r="A555">
        <v>6952</v>
      </c>
      <c r="B555" s="342">
        <v>38390</v>
      </c>
      <c r="C555" t="s">
        <v>319</v>
      </c>
      <c r="D555">
        <v>0</v>
      </c>
      <c r="E555">
        <v>0</v>
      </c>
      <c r="F555">
        <v>0</v>
      </c>
      <c r="G555">
        <v>0</v>
      </c>
      <c r="H555">
        <v>0</v>
      </c>
      <c r="I555">
        <v>0</v>
      </c>
      <c r="J555">
        <v>0</v>
      </c>
      <c r="K555">
        <v>0</v>
      </c>
      <c r="L555">
        <v>0</v>
      </c>
      <c r="M555">
        <v>0</v>
      </c>
      <c r="N555">
        <v>0</v>
      </c>
    </row>
    <row r="556" spans="1:14" ht="12.75" x14ac:dyDescent="0.2">
      <c r="A556">
        <v>6952</v>
      </c>
      <c r="B556" s="342">
        <v>38400</v>
      </c>
      <c r="C556" t="s">
        <v>322</v>
      </c>
      <c r="D556">
        <v>13924.19</v>
      </c>
      <c r="E556">
        <v>108065.23</v>
      </c>
      <c r="F556">
        <v>80000</v>
      </c>
      <c r="G556">
        <v>78261.460000000006</v>
      </c>
      <c r="H556">
        <v>78261.460000000006</v>
      </c>
      <c r="I556">
        <v>80000</v>
      </c>
      <c r="J556">
        <v>13924.19</v>
      </c>
      <c r="K556">
        <v>131895.07</v>
      </c>
      <c r="L556">
        <v>84172.35</v>
      </c>
      <c r="M556">
        <v>84172.35</v>
      </c>
      <c r="N556">
        <v>0</v>
      </c>
    </row>
    <row r="557" spans="1:14" ht="12.75" x14ac:dyDescent="0.2">
      <c r="A557">
        <v>6952</v>
      </c>
      <c r="B557" s="342">
        <v>38410</v>
      </c>
      <c r="C557" t="s">
        <v>619</v>
      </c>
      <c r="D557">
        <v>15.22</v>
      </c>
      <c r="E557">
        <v>702.64</v>
      </c>
      <c r="F557">
        <v>500</v>
      </c>
      <c r="G557">
        <v>777.63</v>
      </c>
      <c r="H557">
        <v>777.63</v>
      </c>
      <c r="I557">
        <v>500</v>
      </c>
      <c r="J557">
        <v>15.22</v>
      </c>
      <c r="K557">
        <v>702.64</v>
      </c>
      <c r="L557">
        <v>777.63</v>
      </c>
      <c r="M557">
        <v>777.63</v>
      </c>
      <c r="N557">
        <v>0</v>
      </c>
    </row>
    <row r="558" spans="1:14" ht="12.75" x14ac:dyDescent="0.2">
      <c r="A558">
        <v>6952</v>
      </c>
      <c r="B558" s="342">
        <v>38420</v>
      </c>
      <c r="C558" t="s">
        <v>685</v>
      </c>
      <c r="D558">
        <v>0</v>
      </c>
      <c r="E558">
        <v>437.5</v>
      </c>
      <c r="F558">
        <v>1000</v>
      </c>
      <c r="G558">
        <v>2633.88</v>
      </c>
      <c r="H558">
        <v>2633.88</v>
      </c>
      <c r="I558">
        <v>1000</v>
      </c>
      <c r="J558">
        <v>0</v>
      </c>
      <c r="K558">
        <v>437.5</v>
      </c>
      <c r="L558">
        <v>2633.88</v>
      </c>
      <c r="M558">
        <v>2633.88</v>
      </c>
      <c r="N558">
        <v>0</v>
      </c>
    </row>
    <row r="559" spans="1:14" ht="12.75" x14ac:dyDescent="0.2">
      <c r="A559">
        <v>6952</v>
      </c>
      <c r="B559" s="342">
        <v>38500</v>
      </c>
      <c r="C559" t="s">
        <v>329</v>
      </c>
      <c r="D559">
        <v>8787.06</v>
      </c>
      <c r="E559">
        <v>78999.429999999993</v>
      </c>
      <c r="F559">
        <v>75270</v>
      </c>
      <c r="G559">
        <v>56277.63</v>
      </c>
      <c r="H559">
        <v>56277.63</v>
      </c>
      <c r="I559">
        <v>75270</v>
      </c>
      <c r="J559">
        <v>8787.06</v>
      </c>
      <c r="K559">
        <v>79271.17</v>
      </c>
      <c r="L559">
        <v>56277.63</v>
      </c>
      <c r="M559">
        <v>56277.63</v>
      </c>
      <c r="N559">
        <v>0</v>
      </c>
    </row>
    <row r="560" spans="1:14" ht="12.75" x14ac:dyDescent="0.2">
      <c r="A560">
        <v>6952</v>
      </c>
      <c r="B560" s="342">
        <v>38520</v>
      </c>
      <c r="C560" t="s">
        <v>325</v>
      </c>
      <c r="D560">
        <v>0</v>
      </c>
      <c r="E560">
        <v>0</v>
      </c>
      <c r="F560">
        <v>0</v>
      </c>
      <c r="G560">
        <v>0</v>
      </c>
      <c r="H560">
        <v>0</v>
      </c>
      <c r="I560">
        <v>0</v>
      </c>
      <c r="J560">
        <v>0</v>
      </c>
      <c r="K560">
        <v>0</v>
      </c>
      <c r="L560">
        <v>0</v>
      </c>
      <c r="M560">
        <v>0</v>
      </c>
      <c r="N560">
        <v>0</v>
      </c>
    </row>
    <row r="561" spans="1:14" ht="12.75" x14ac:dyDescent="0.2">
      <c r="A561">
        <v>6952</v>
      </c>
      <c r="B561" s="342">
        <v>38600</v>
      </c>
      <c r="C561" t="s">
        <v>336</v>
      </c>
      <c r="D561">
        <v>0</v>
      </c>
      <c r="E561">
        <v>6000</v>
      </c>
      <c r="F561">
        <v>6000</v>
      </c>
      <c r="G561">
        <v>5260</v>
      </c>
      <c r="H561">
        <v>5260</v>
      </c>
      <c r="I561">
        <v>6000</v>
      </c>
      <c r="J561">
        <v>0</v>
      </c>
      <c r="K561">
        <v>6000</v>
      </c>
      <c r="L561">
        <v>5260</v>
      </c>
      <c r="M561">
        <v>5260</v>
      </c>
      <c r="N561">
        <v>0</v>
      </c>
    </row>
    <row r="562" spans="1:14" ht="12.75" x14ac:dyDescent="0.2">
      <c r="A562">
        <v>6952</v>
      </c>
      <c r="B562" s="342">
        <v>38610</v>
      </c>
      <c r="C562" t="s">
        <v>337</v>
      </c>
      <c r="D562">
        <v>0</v>
      </c>
      <c r="E562">
        <v>3940.13</v>
      </c>
      <c r="F562">
        <v>3800</v>
      </c>
      <c r="G562">
        <v>2125</v>
      </c>
      <c r="H562">
        <v>2125</v>
      </c>
      <c r="I562">
        <v>3800</v>
      </c>
      <c r="J562">
        <v>0</v>
      </c>
      <c r="K562">
        <v>3940.13</v>
      </c>
      <c r="L562">
        <v>2125</v>
      </c>
      <c r="M562">
        <v>2125</v>
      </c>
      <c r="N562">
        <v>0</v>
      </c>
    </row>
    <row r="563" spans="1:14" ht="12.75" x14ac:dyDescent="0.2">
      <c r="A563">
        <v>6952</v>
      </c>
      <c r="B563" s="342">
        <v>38620</v>
      </c>
      <c r="C563" t="s">
        <v>333</v>
      </c>
      <c r="D563">
        <v>137.33000000000001</v>
      </c>
      <c r="E563">
        <v>1563.14</v>
      </c>
      <c r="F563">
        <v>1800</v>
      </c>
      <c r="G563">
        <v>1696.5</v>
      </c>
      <c r="H563">
        <v>1696.5</v>
      </c>
      <c r="I563">
        <v>1800</v>
      </c>
      <c r="J563">
        <v>137.33000000000001</v>
      </c>
      <c r="K563">
        <v>1563.14</v>
      </c>
      <c r="L563">
        <v>1696.5</v>
      </c>
      <c r="M563">
        <v>1696.5</v>
      </c>
      <c r="N563">
        <v>0</v>
      </c>
    </row>
    <row r="564" spans="1:14" ht="12.75" x14ac:dyDescent="0.2">
      <c r="A564">
        <v>6952</v>
      </c>
      <c r="B564" s="342">
        <v>38630</v>
      </c>
      <c r="C564" t="s">
        <v>334</v>
      </c>
      <c r="D564">
        <v>0</v>
      </c>
      <c r="E564">
        <v>0</v>
      </c>
      <c r="F564">
        <v>480</v>
      </c>
      <c r="G564">
        <v>217.39</v>
      </c>
      <c r="H564">
        <v>217.39</v>
      </c>
      <c r="I564">
        <v>480</v>
      </c>
      <c r="J564">
        <v>0</v>
      </c>
      <c r="K564">
        <v>0</v>
      </c>
      <c r="L564">
        <v>217.39</v>
      </c>
      <c r="M564">
        <v>217.39</v>
      </c>
      <c r="N564">
        <v>0</v>
      </c>
    </row>
    <row r="565" spans="1:14" ht="12.75" x14ac:dyDescent="0.2">
      <c r="A565">
        <v>6952</v>
      </c>
      <c r="B565" s="342">
        <v>38640</v>
      </c>
      <c r="C565" t="s">
        <v>335</v>
      </c>
      <c r="D565">
        <v>0</v>
      </c>
      <c r="E565">
        <v>522.39</v>
      </c>
      <c r="F565">
        <v>1500</v>
      </c>
      <c r="G565">
        <v>1078.92</v>
      </c>
      <c r="H565">
        <v>1078.92</v>
      </c>
      <c r="I565">
        <v>1500</v>
      </c>
      <c r="J565">
        <v>0</v>
      </c>
      <c r="K565">
        <v>522.39</v>
      </c>
      <c r="L565">
        <v>1078.92</v>
      </c>
      <c r="M565">
        <v>1078.92</v>
      </c>
      <c r="N565">
        <v>0</v>
      </c>
    </row>
    <row r="566" spans="1:14" ht="12.75" x14ac:dyDescent="0.2">
      <c r="A566">
        <v>6952</v>
      </c>
      <c r="B566">
        <v>38700</v>
      </c>
      <c r="C566" t="s">
        <v>329</v>
      </c>
      <c r="D566">
        <v>0</v>
      </c>
      <c r="E566">
        <v>0</v>
      </c>
      <c r="F566">
        <v>0</v>
      </c>
      <c r="G566">
        <v>0</v>
      </c>
      <c r="H566">
        <v>0</v>
      </c>
      <c r="I566">
        <v>0</v>
      </c>
      <c r="J566">
        <v>0</v>
      </c>
      <c r="K566">
        <v>0</v>
      </c>
      <c r="L566">
        <v>0</v>
      </c>
      <c r="M566">
        <v>0</v>
      </c>
      <c r="N566">
        <v>0</v>
      </c>
    </row>
    <row r="567" spans="1:14" ht="12.75" x14ac:dyDescent="0.2">
      <c r="A567">
        <v>6952</v>
      </c>
      <c r="B567">
        <v>38760</v>
      </c>
      <c r="C567" t="s">
        <v>808</v>
      </c>
      <c r="D567">
        <v>0</v>
      </c>
      <c r="E567">
        <v>0</v>
      </c>
      <c r="F567">
        <v>0</v>
      </c>
      <c r="G567">
        <v>0</v>
      </c>
      <c r="H567">
        <v>0</v>
      </c>
      <c r="I567">
        <v>0</v>
      </c>
      <c r="J567">
        <v>0</v>
      </c>
      <c r="K567">
        <v>0</v>
      </c>
      <c r="L567">
        <v>0</v>
      </c>
      <c r="M567">
        <v>0</v>
      </c>
      <c r="N567">
        <v>0</v>
      </c>
    </row>
    <row r="568" spans="1:14" ht="12.75" x14ac:dyDescent="0.2">
      <c r="A568">
        <v>6952</v>
      </c>
      <c r="B568">
        <v>38790</v>
      </c>
      <c r="C568" t="s">
        <v>795</v>
      </c>
      <c r="D568">
        <v>0</v>
      </c>
      <c r="E568">
        <v>0</v>
      </c>
      <c r="F568">
        <v>0</v>
      </c>
      <c r="G568">
        <v>0</v>
      </c>
      <c r="H568">
        <v>0</v>
      </c>
      <c r="I568">
        <v>0</v>
      </c>
      <c r="J568">
        <v>0</v>
      </c>
      <c r="K568">
        <v>0</v>
      </c>
      <c r="L568">
        <v>0</v>
      </c>
      <c r="M568">
        <v>0</v>
      </c>
      <c r="N568">
        <v>0</v>
      </c>
    </row>
    <row r="569" spans="1:14" ht="12.75" x14ac:dyDescent="0.2">
      <c r="A569">
        <v>6952</v>
      </c>
      <c r="B569" s="342">
        <v>38922</v>
      </c>
      <c r="C569" t="s">
        <v>809</v>
      </c>
      <c r="D569">
        <v>0</v>
      </c>
      <c r="E569">
        <v>0</v>
      </c>
      <c r="F569">
        <v>0</v>
      </c>
      <c r="G569">
        <v>0</v>
      </c>
      <c r="H569">
        <v>0</v>
      </c>
      <c r="I569">
        <v>0</v>
      </c>
      <c r="J569">
        <v>0</v>
      </c>
      <c r="K569">
        <v>0</v>
      </c>
      <c r="L569">
        <v>0</v>
      </c>
      <c r="M569">
        <v>0</v>
      </c>
      <c r="N569">
        <v>0</v>
      </c>
    </row>
    <row r="570" spans="1:14" ht="12.75" x14ac:dyDescent="0.2">
      <c r="A570">
        <v>6952</v>
      </c>
      <c r="B570" s="342">
        <v>38928</v>
      </c>
      <c r="C570" t="s">
        <v>810</v>
      </c>
      <c r="D570">
        <v>0</v>
      </c>
      <c r="E570">
        <v>0</v>
      </c>
      <c r="F570">
        <v>0</v>
      </c>
      <c r="G570">
        <v>0</v>
      </c>
      <c r="H570">
        <v>0</v>
      </c>
      <c r="I570">
        <v>0</v>
      </c>
      <c r="J570">
        <v>0</v>
      </c>
      <c r="K570">
        <v>0</v>
      </c>
      <c r="L570">
        <v>0</v>
      </c>
      <c r="M570">
        <v>0</v>
      </c>
      <c r="N570">
        <v>0</v>
      </c>
    </row>
    <row r="571" spans="1:14" ht="12.75" x14ac:dyDescent="0.2">
      <c r="A571">
        <v>6952</v>
      </c>
      <c r="B571" s="342">
        <v>38929</v>
      </c>
      <c r="C571" t="s">
        <v>1128</v>
      </c>
      <c r="D571">
        <v>0</v>
      </c>
      <c r="E571">
        <v>10161.19</v>
      </c>
      <c r="F571">
        <v>17928</v>
      </c>
      <c r="G571">
        <v>11315.55</v>
      </c>
      <c r="H571">
        <v>11315.55</v>
      </c>
      <c r="I571">
        <v>17928</v>
      </c>
      <c r="J571">
        <v>0</v>
      </c>
      <c r="K571">
        <v>10161.19</v>
      </c>
      <c r="L571">
        <v>11315.55</v>
      </c>
      <c r="M571">
        <v>11315.55</v>
      </c>
      <c r="N571">
        <v>0</v>
      </c>
    </row>
    <row r="572" spans="1:14" ht="12.75" x14ac:dyDescent="0.2">
      <c r="A572">
        <v>6952</v>
      </c>
      <c r="B572" s="342">
        <v>38930</v>
      </c>
      <c r="C572" t="s">
        <v>811</v>
      </c>
      <c r="D572">
        <v>14503.03</v>
      </c>
      <c r="E572">
        <v>103445.49</v>
      </c>
      <c r="F572">
        <v>85496</v>
      </c>
      <c r="G572">
        <v>112024.2</v>
      </c>
      <c r="H572">
        <v>112024.2</v>
      </c>
      <c r="I572">
        <v>85496</v>
      </c>
      <c r="J572">
        <v>14503.03</v>
      </c>
      <c r="K572">
        <v>103445.49</v>
      </c>
      <c r="L572">
        <v>112024.2</v>
      </c>
      <c r="M572">
        <v>112024.2</v>
      </c>
      <c r="N572">
        <v>0</v>
      </c>
    </row>
    <row r="573" spans="1:14" ht="12.75" x14ac:dyDescent="0.2">
      <c r="A573">
        <v>6952</v>
      </c>
      <c r="B573" s="342">
        <v>38931</v>
      </c>
      <c r="C573" t="s">
        <v>812</v>
      </c>
      <c r="D573">
        <v>0</v>
      </c>
      <c r="E573">
        <v>0</v>
      </c>
      <c r="F573">
        <v>0</v>
      </c>
      <c r="G573">
        <v>0</v>
      </c>
      <c r="H573">
        <v>0</v>
      </c>
      <c r="I573">
        <v>0</v>
      </c>
      <c r="J573">
        <v>0</v>
      </c>
      <c r="K573">
        <v>0</v>
      </c>
      <c r="L573">
        <v>0</v>
      </c>
      <c r="M573">
        <v>0</v>
      </c>
      <c r="N573">
        <v>0</v>
      </c>
    </row>
    <row r="574" spans="1:14" ht="12.75" x14ac:dyDescent="0.2">
      <c r="A574">
        <v>6952</v>
      </c>
      <c r="B574" s="342">
        <v>38932</v>
      </c>
      <c r="C574" t="s">
        <v>804</v>
      </c>
      <c r="D574">
        <v>0</v>
      </c>
      <c r="E574">
        <v>0</v>
      </c>
      <c r="F574">
        <v>0</v>
      </c>
      <c r="G574">
        <v>0</v>
      </c>
      <c r="H574">
        <v>0</v>
      </c>
      <c r="I574">
        <v>0</v>
      </c>
      <c r="J574">
        <v>0</v>
      </c>
      <c r="K574">
        <v>0</v>
      </c>
      <c r="L574">
        <v>0</v>
      </c>
      <c r="M574">
        <v>0</v>
      </c>
      <c r="N574">
        <v>0</v>
      </c>
    </row>
    <row r="575" spans="1:14" ht="12.75" x14ac:dyDescent="0.2">
      <c r="A575">
        <v>6952</v>
      </c>
      <c r="B575" s="342">
        <v>38933</v>
      </c>
      <c r="C575" t="s">
        <v>813</v>
      </c>
      <c r="D575">
        <v>68.680000000000007</v>
      </c>
      <c r="E575">
        <v>104.68</v>
      </c>
      <c r="F575">
        <v>0</v>
      </c>
      <c r="G575">
        <v>47.83</v>
      </c>
      <c r="H575">
        <v>47.83</v>
      </c>
      <c r="I575">
        <v>0</v>
      </c>
      <c r="J575">
        <v>68.680000000000007</v>
      </c>
      <c r="K575">
        <v>104.68</v>
      </c>
      <c r="L575">
        <v>47.83</v>
      </c>
      <c r="M575">
        <v>47.83</v>
      </c>
      <c r="N575">
        <v>0</v>
      </c>
    </row>
    <row r="576" spans="1:14" ht="12.75" x14ac:dyDescent="0.2">
      <c r="A576">
        <v>6952</v>
      </c>
      <c r="B576" s="342">
        <v>38934</v>
      </c>
      <c r="C576" t="s">
        <v>313</v>
      </c>
      <c r="D576">
        <v>159.80000000000001</v>
      </c>
      <c r="E576">
        <v>780.89</v>
      </c>
      <c r="F576">
        <v>650</v>
      </c>
      <c r="G576">
        <v>27.9</v>
      </c>
      <c r="H576">
        <v>27.9</v>
      </c>
      <c r="I576">
        <v>650</v>
      </c>
      <c r="J576">
        <v>159.80000000000001</v>
      </c>
      <c r="K576">
        <v>780.89</v>
      </c>
      <c r="L576">
        <v>27.9</v>
      </c>
      <c r="M576">
        <v>27.9</v>
      </c>
      <c r="N576">
        <v>0</v>
      </c>
    </row>
    <row r="577" spans="1:14" ht="12.75" x14ac:dyDescent="0.2">
      <c r="A577">
        <v>6952</v>
      </c>
      <c r="B577" s="342">
        <v>38935</v>
      </c>
      <c r="C577" t="s">
        <v>370</v>
      </c>
      <c r="D577">
        <v>1524.61</v>
      </c>
      <c r="E577">
        <v>9046.1299999999992</v>
      </c>
      <c r="F577">
        <v>7300</v>
      </c>
      <c r="G577">
        <v>8267.15</v>
      </c>
      <c r="H577">
        <v>8267.15</v>
      </c>
      <c r="I577">
        <v>7300</v>
      </c>
      <c r="J577">
        <v>1524.61</v>
      </c>
      <c r="K577">
        <v>9046.1299999999992</v>
      </c>
      <c r="L577">
        <v>8267.15</v>
      </c>
      <c r="M577">
        <v>8267.15</v>
      </c>
      <c r="N577">
        <v>0</v>
      </c>
    </row>
    <row r="578" spans="1:14" ht="12.75" x14ac:dyDescent="0.2">
      <c r="A578">
        <v>6952</v>
      </c>
      <c r="B578" s="342">
        <v>38936</v>
      </c>
      <c r="C578" t="s">
        <v>320</v>
      </c>
      <c r="D578">
        <v>82.04</v>
      </c>
      <c r="E578">
        <v>293.52999999999997</v>
      </c>
      <c r="F578">
        <v>300</v>
      </c>
      <c r="G578">
        <v>127.11</v>
      </c>
      <c r="H578">
        <v>127.11</v>
      </c>
      <c r="I578">
        <v>300</v>
      </c>
      <c r="J578">
        <v>82.04</v>
      </c>
      <c r="K578">
        <v>293.52999999999997</v>
      </c>
      <c r="L578">
        <v>127.11</v>
      </c>
      <c r="M578">
        <v>127.11</v>
      </c>
      <c r="N578">
        <v>0</v>
      </c>
    </row>
    <row r="579" spans="1:14" ht="12.75" x14ac:dyDescent="0.2">
      <c r="A579">
        <v>6952</v>
      </c>
      <c r="B579" s="342">
        <v>38937</v>
      </c>
      <c r="C579" t="s">
        <v>319</v>
      </c>
      <c r="D579">
        <v>21.74</v>
      </c>
      <c r="E579">
        <v>920.02</v>
      </c>
      <c r="F579">
        <v>500</v>
      </c>
      <c r="G579">
        <v>894.64</v>
      </c>
      <c r="H579">
        <v>894.64</v>
      </c>
      <c r="I579">
        <v>500</v>
      </c>
      <c r="J579">
        <v>21.74</v>
      </c>
      <c r="K579">
        <v>920.02</v>
      </c>
      <c r="L579">
        <v>894.64</v>
      </c>
      <c r="M579">
        <v>894.64</v>
      </c>
      <c r="N579">
        <v>0</v>
      </c>
    </row>
    <row r="580" spans="1:14" ht="12.75" x14ac:dyDescent="0.2">
      <c r="A580">
        <v>6952</v>
      </c>
      <c r="B580" s="342">
        <v>38938</v>
      </c>
      <c r="C580" t="s">
        <v>432</v>
      </c>
      <c r="D580">
        <v>0</v>
      </c>
      <c r="E580">
        <v>0</v>
      </c>
      <c r="F580">
        <v>0</v>
      </c>
      <c r="G580">
        <v>156.09</v>
      </c>
      <c r="H580">
        <v>156.09</v>
      </c>
      <c r="I580">
        <v>0</v>
      </c>
      <c r="J580">
        <v>0</v>
      </c>
      <c r="K580">
        <v>0</v>
      </c>
      <c r="L580">
        <v>156.09</v>
      </c>
      <c r="M580">
        <v>156.09</v>
      </c>
      <c r="N580">
        <v>0</v>
      </c>
    </row>
    <row r="581" spans="1:14" ht="12.75" x14ac:dyDescent="0.2">
      <c r="A581">
        <v>6952</v>
      </c>
      <c r="B581" s="342">
        <v>38939</v>
      </c>
      <c r="C581" t="s">
        <v>814</v>
      </c>
      <c r="D581">
        <v>1094.96</v>
      </c>
      <c r="E581">
        <v>13378.18</v>
      </c>
      <c r="F581">
        <v>8000</v>
      </c>
      <c r="G581">
        <v>12154.89</v>
      </c>
      <c r="H581">
        <v>12154.89</v>
      </c>
      <c r="I581">
        <v>8000</v>
      </c>
      <c r="J581">
        <v>1094.96</v>
      </c>
      <c r="K581">
        <v>13378.18</v>
      </c>
      <c r="L581">
        <v>12889.41</v>
      </c>
      <c r="M581">
        <v>12889.41</v>
      </c>
      <c r="N581">
        <v>0</v>
      </c>
    </row>
    <row r="582" spans="1:14" ht="12.75" x14ac:dyDescent="0.2">
      <c r="A582">
        <v>6952</v>
      </c>
      <c r="B582" s="342">
        <v>38940</v>
      </c>
      <c r="C582" t="s">
        <v>815</v>
      </c>
      <c r="D582">
        <v>0</v>
      </c>
      <c r="E582">
        <v>2758.73</v>
      </c>
      <c r="F582">
        <v>0</v>
      </c>
      <c r="G582">
        <v>13470.99</v>
      </c>
      <c r="H582">
        <v>13470.99</v>
      </c>
      <c r="I582">
        <v>0</v>
      </c>
      <c r="J582">
        <v>0</v>
      </c>
      <c r="K582">
        <v>2758.73</v>
      </c>
      <c r="L582">
        <v>29062.66</v>
      </c>
      <c r="M582">
        <v>29062.66</v>
      </c>
      <c r="N582">
        <v>0</v>
      </c>
    </row>
    <row r="583" spans="1:14" ht="12.75" x14ac:dyDescent="0.2">
      <c r="A583">
        <v>6952</v>
      </c>
      <c r="B583" s="342">
        <v>38945</v>
      </c>
      <c r="C583" t="s">
        <v>816</v>
      </c>
      <c r="D583">
        <v>0</v>
      </c>
      <c r="E583">
        <v>0</v>
      </c>
      <c r="F583">
        <v>0</v>
      </c>
      <c r="G583">
        <v>0</v>
      </c>
      <c r="H583">
        <v>0</v>
      </c>
      <c r="I583">
        <v>0</v>
      </c>
      <c r="J583">
        <v>0</v>
      </c>
      <c r="K583">
        <v>0</v>
      </c>
      <c r="L583">
        <v>0</v>
      </c>
      <c r="M583">
        <v>0</v>
      </c>
      <c r="N583">
        <v>0</v>
      </c>
    </row>
    <row r="584" spans="1:14" ht="12.75" x14ac:dyDescent="0.2">
      <c r="A584">
        <v>6952</v>
      </c>
      <c r="B584" s="342">
        <v>38946</v>
      </c>
      <c r="C584" t="s">
        <v>817</v>
      </c>
      <c r="D584">
        <v>0</v>
      </c>
      <c r="E584">
        <v>0</v>
      </c>
      <c r="F584">
        <v>0</v>
      </c>
      <c r="G584">
        <v>0</v>
      </c>
      <c r="H584">
        <v>0</v>
      </c>
      <c r="I584">
        <v>0</v>
      </c>
      <c r="J584">
        <v>0</v>
      </c>
      <c r="K584">
        <v>0</v>
      </c>
      <c r="L584">
        <v>0</v>
      </c>
      <c r="M584">
        <v>0</v>
      </c>
      <c r="N584">
        <v>0</v>
      </c>
    </row>
    <row r="585" spans="1:14" ht="12.75" x14ac:dyDescent="0.2">
      <c r="A585">
        <v>6952</v>
      </c>
      <c r="B585" s="342">
        <v>38950</v>
      </c>
      <c r="C585" t="s">
        <v>611</v>
      </c>
      <c r="D585">
        <v>0</v>
      </c>
      <c r="E585">
        <v>0</v>
      </c>
      <c r="F585">
        <v>0</v>
      </c>
      <c r="G585">
        <v>0</v>
      </c>
      <c r="H585">
        <v>0</v>
      </c>
      <c r="I585">
        <v>0</v>
      </c>
      <c r="J585">
        <v>0</v>
      </c>
      <c r="K585">
        <v>0</v>
      </c>
      <c r="L585">
        <v>0</v>
      </c>
      <c r="M585">
        <v>0</v>
      </c>
      <c r="N585">
        <v>0</v>
      </c>
    </row>
    <row r="586" spans="1:14" ht="12.75" x14ac:dyDescent="0.2">
      <c r="A586">
        <v>6952</v>
      </c>
      <c r="B586" s="342">
        <v>38951</v>
      </c>
      <c r="C586" t="s">
        <v>818</v>
      </c>
      <c r="D586">
        <v>0</v>
      </c>
      <c r="E586">
        <v>0</v>
      </c>
      <c r="F586">
        <v>0</v>
      </c>
      <c r="G586">
        <v>0</v>
      </c>
      <c r="H586">
        <v>0</v>
      </c>
      <c r="I586">
        <v>0</v>
      </c>
      <c r="J586">
        <v>0</v>
      </c>
      <c r="K586">
        <v>0</v>
      </c>
      <c r="L586">
        <v>0</v>
      </c>
      <c r="M586">
        <v>0</v>
      </c>
      <c r="N586">
        <v>0</v>
      </c>
    </row>
    <row r="587" spans="1:14" ht="12.75" x14ac:dyDescent="0.2">
      <c r="A587">
        <v>6952</v>
      </c>
      <c r="B587" s="342">
        <v>38952</v>
      </c>
      <c r="C587" t="s">
        <v>819</v>
      </c>
      <c r="D587">
        <v>0</v>
      </c>
      <c r="E587">
        <v>0</v>
      </c>
      <c r="F587">
        <v>0</v>
      </c>
      <c r="G587">
        <v>10.87</v>
      </c>
      <c r="H587">
        <v>10.87</v>
      </c>
      <c r="I587">
        <v>0</v>
      </c>
      <c r="J587">
        <v>0</v>
      </c>
      <c r="K587">
        <v>0</v>
      </c>
      <c r="L587">
        <v>10.87</v>
      </c>
      <c r="M587">
        <v>10.87</v>
      </c>
      <c r="N587">
        <v>0</v>
      </c>
    </row>
    <row r="588" spans="1:14" ht="12.75" x14ac:dyDescent="0.2">
      <c r="A588">
        <v>6952</v>
      </c>
      <c r="B588" s="342">
        <v>38953</v>
      </c>
      <c r="C588" t="s">
        <v>820</v>
      </c>
      <c r="D588">
        <v>0</v>
      </c>
      <c r="E588">
        <v>0</v>
      </c>
      <c r="F588">
        <v>0</v>
      </c>
      <c r="G588">
        <v>0</v>
      </c>
      <c r="H588">
        <v>0</v>
      </c>
      <c r="I588">
        <v>0</v>
      </c>
      <c r="J588">
        <v>0</v>
      </c>
      <c r="K588">
        <v>0</v>
      </c>
      <c r="L588">
        <v>0</v>
      </c>
      <c r="M588">
        <v>0</v>
      </c>
      <c r="N588">
        <v>0</v>
      </c>
    </row>
    <row r="589" spans="1:14" ht="12.75" x14ac:dyDescent="0.2">
      <c r="A589">
        <v>6952</v>
      </c>
      <c r="B589" s="342">
        <v>38954</v>
      </c>
      <c r="C589" t="s">
        <v>821</v>
      </c>
      <c r="D589">
        <v>14.72</v>
      </c>
      <c r="E589">
        <v>45.55</v>
      </c>
      <c r="F589">
        <v>0</v>
      </c>
      <c r="G589">
        <v>44.73</v>
      </c>
      <c r="H589">
        <v>44.73</v>
      </c>
      <c r="I589">
        <v>0</v>
      </c>
      <c r="J589">
        <v>14.72</v>
      </c>
      <c r="K589">
        <v>45.55</v>
      </c>
      <c r="L589">
        <v>44.73</v>
      </c>
      <c r="M589">
        <v>44.73</v>
      </c>
      <c r="N589">
        <v>0</v>
      </c>
    </row>
    <row r="590" spans="1:14" ht="12.75" x14ac:dyDescent="0.2">
      <c r="A590">
        <v>6952</v>
      </c>
      <c r="B590" s="342">
        <v>38955</v>
      </c>
      <c r="C590" t="s">
        <v>822</v>
      </c>
      <c r="D590">
        <v>0</v>
      </c>
      <c r="E590">
        <v>0</v>
      </c>
      <c r="F590">
        <v>0</v>
      </c>
      <c r="G590">
        <v>0</v>
      </c>
      <c r="H590">
        <v>0</v>
      </c>
      <c r="I590">
        <v>0</v>
      </c>
      <c r="J590">
        <v>0</v>
      </c>
      <c r="K590">
        <v>0</v>
      </c>
      <c r="L590">
        <v>0</v>
      </c>
      <c r="M590">
        <v>0</v>
      </c>
      <c r="N590">
        <v>0</v>
      </c>
    </row>
    <row r="591" spans="1:14" ht="12.75" x14ac:dyDescent="0.2">
      <c r="A591">
        <v>6952</v>
      </c>
      <c r="B591" s="342">
        <v>38956</v>
      </c>
      <c r="C591" t="s">
        <v>823</v>
      </c>
      <c r="D591">
        <v>0</v>
      </c>
      <c r="E591">
        <v>0</v>
      </c>
      <c r="F591">
        <v>0</v>
      </c>
      <c r="G591">
        <v>0</v>
      </c>
      <c r="H591">
        <v>0</v>
      </c>
      <c r="I591">
        <v>0</v>
      </c>
      <c r="J591">
        <v>0</v>
      </c>
      <c r="K591">
        <v>0</v>
      </c>
      <c r="L591">
        <v>0</v>
      </c>
      <c r="M591">
        <v>0</v>
      </c>
      <c r="N591">
        <v>0</v>
      </c>
    </row>
    <row r="592" spans="1:14" ht="12.75" x14ac:dyDescent="0.2">
      <c r="A592">
        <v>6952</v>
      </c>
      <c r="B592" s="342">
        <v>38957</v>
      </c>
      <c r="C592" t="s">
        <v>824</v>
      </c>
      <c r="D592">
        <v>0</v>
      </c>
      <c r="E592">
        <v>0</v>
      </c>
      <c r="F592">
        <v>0</v>
      </c>
      <c r="G592">
        <v>0</v>
      </c>
      <c r="H592">
        <v>0</v>
      </c>
      <c r="I592">
        <v>0</v>
      </c>
      <c r="J592">
        <v>0</v>
      </c>
      <c r="K592">
        <v>0</v>
      </c>
      <c r="L592">
        <v>0</v>
      </c>
      <c r="M592">
        <v>0</v>
      </c>
      <c r="N592">
        <v>0</v>
      </c>
    </row>
    <row r="593" spans="1:14" ht="12.75" x14ac:dyDescent="0.2">
      <c r="A593">
        <v>6952</v>
      </c>
      <c r="B593" s="342">
        <v>38958</v>
      </c>
      <c r="C593" t="s">
        <v>825</v>
      </c>
      <c r="D593">
        <v>0</v>
      </c>
      <c r="E593">
        <v>0</v>
      </c>
      <c r="F593">
        <v>0</v>
      </c>
      <c r="G593">
        <v>0</v>
      </c>
      <c r="H593">
        <v>0</v>
      </c>
      <c r="I593">
        <v>0</v>
      </c>
      <c r="J593">
        <v>0</v>
      </c>
      <c r="K593">
        <v>0</v>
      </c>
      <c r="L593">
        <v>0</v>
      </c>
      <c r="M593">
        <v>0</v>
      </c>
      <c r="N593">
        <v>0</v>
      </c>
    </row>
    <row r="594" spans="1:14" ht="12.75" x14ac:dyDescent="0.2">
      <c r="A594">
        <v>6952</v>
      </c>
      <c r="B594" s="342">
        <v>38959</v>
      </c>
      <c r="C594" t="s">
        <v>826</v>
      </c>
      <c r="D594">
        <v>0</v>
      </c>
      <c r="E594">
        <v>0</v>
      </c>
      <c r="F594">
        <v>0</v>
      </c>
      <c r="G594">
        <v>0</v>
      </c>
      <c r="H594">
        <v>0</v>
      </c>
      <c r="I594">
        <v>0</v>
      </c>
      <c r="J594">
        <v>0</v>
      </c>
      <c r="K594">
        <v>0</v>
      </c>
      <c r="L594">
        <v>0</v>
      </c>
      <c r="M594">
        <v>0</v>
      </c>
      <c r="N594">
        <v>0</v>
      </c>
    </row>
    <row r="595" spans="1:14" ht="12.75" x14ac:dyDescent="0.2">
      <c r="A595">
        <v>6952</v>
      </c>
      <c r="B595" s="342">
        <v>38966</v>
      </c>
      <c r="C595" t="s">
        <v>1003</v>
      </c>
      <c r="D595">
        <v>10592.77</v>
      </c>
      <c r="E595">
        <v>54748.800000000003</v>
      </c>
      <c r="F595">
        <v>33000</v>
      </c>
      <c r="G595">
        <v>5699.59</v>
      </c>
      <c r="H595">
        <v>5699.59</v>
      </c>
      <c r="I595">
        <v>33000</v>
      </c>
      <c r="J595">
        <v>10592.77</v>
      </c>
      <c r="K595">
        <v>54748.800000000003</v>
      </c>
      <c r="L595">
        <v>5790.19</v>
      </c>
      <c r="M595">
        <v>5790.19</v>
      </c>
      <c r="N595">
        <v>0</v>
      </c>
    </row>
    <row r="596" spans="1:14" ht="12.75" x14ac:dyDescent="0.2">
      <c r="A596">
        <v>6952</v>
      </c>
      <c r="B596" s="342">
        <v>38967</v>
      </c>
      <c r="C596" t="s">
        <v>1004</v>
      </c>
      <c r="D596">
        <v>262.60000000000002</v>
      </c>
      <c r="E596">
        <v>34514.32</v>
      </c>
      <c r="F596">
        <v>33000</v>
      </c>
      <c r="G596">
        <v>35222.33</v>
      </c>
      <c r="H596">
        <v>35222.33</v>
      </c>
      <c r="I596">
        <v>33000</v>
      </c>
      <c r="J596">
        <v>262.60000000000002</v>
      </c>
      <c r="K596">
        <v>34514.32</v>
      </c>
      <c r="L596">
        <v>35222.33</v>
      </c>
      <c r="M596">
        <v>35222.33</v>
      </c>
      <c r="N596">
        <v>0</v>
      </c>
    </row>
    <row r="597" spans="1:14" ht="12.75" x14ac:dyDescent="0.2">
      <c r="A597">
        <v>6952</v>
      </c>
      <c r="B597" s="342">
        <v>38968</v>
      </c>
      <c r="C597" t="s">
        <v>827</v>
      </c>
      <c r="D597">
        <v>0</v>
      </c>
      <c r="E597">
        <v>0</v>
      </c>
      <c r="F597">
        <v>0</v>
      </c>
      <c r="G597">
        <v>0</v>
      </c>
      <c r="H597">
        <v>0</v>
      </c>
      <c r="I597">
        <v>0</v>
      </c>
      <c r="J597">
        <v>0</v>
      </c>
      <c r="K597">
        <v>0</v>
      </c>
      <c r="L597">
        <v>0</v>
      </c>
      <c r="M597">
        <v>0</v>
      </c>
      <c r="N597">
        <v>0</v>
      </c>
    </row>
    <row r="598" spans="1:14" ht="12.75" x14ac:dyDescent="0.2">
      <c r="A598">
        <v>6952</v>
      </c>
      <c r="B598" s="342">
        <v>38969</v>
      </c>
      <c r="C598" t="s">
        <v>828</v>
      </c>
      <c r="D598">
        <v>62.61</v>
      </c>
      <c r="E598">
        <v>62.61</v>
      </c>
      <c r="F598">
        <v>0</v>
      </c>
      <c r="G598">
        <v>0</v>
      </c>
      <c r="H598">
        <v>0</v>
      </c>
      <c r="I598">
        <v>0</v>
      </c>
      <c r="J598">
        <v>62.61</v>
      </c>
      <c r="K598">
        <v>62.61</v>
      </c>
      <c r="L598">
        <v>0</v>
      </c>
      <c r="M598">
        <v>0</v>
      </c>
      <c r="N598">
        <v>0</v>
      </c>
    </row>
    <row r="599" spans="1:14" ht="12.75" x14ac:dyDescent="0.2">
      <c r="A599">
        <v>6952</v>
      </c>
      <c r="B599" s="342">
        <v>38972</v>
      </c>
      <c r="C599" t="s">
        <v>829</v>
      </c>
      <c r="D599">
        <v>0</v>
      </c>
      <c r="E599">
        <v>0</v>
      </c>
      <c r="F599">
        <v>0</v>
      </c>
      <c r="G599">
        <v>0</v>
      </c>
      <c r="H599">
        <v>0</v>
      </c>
      <c r="I599">
        <v>0</v>
      </c>
      <c r="J599">
        <v>0</v>
      </c>
      <c r="K599">
        <v>0</v>
      </c>
      <c r="L599">
        <v>0</v>
      </c>
      <c r="M599">
        <v>0</v>
      </c>
      <c r="N599">
        <v>0</v>
      </c>
    </row>
    <row r="600" spans="1:14" ht="12.75" x14ac:dyDescent="0.2">
      <c r="A600">
        <v>6952</v>
      </c>
      <c r="B600" s="342">
        <v>38974</v>
      </c>
      <c r="C600" t="s">
        <v>1005</v>
      </c>
      <c r="D600">
        <v>0</v>
      </c>
      <c r="E600">
        <v>25916.71</v>
      </c>
      <c r="F600">
        <v>33000</v>
      </c>
      <c r="G600">
        <v>35679.879999999997</v>
      </c>
      <c r="H600">
        <v>35679.879999999997</v>
      </c>
      <c r="I600">
        <v>33000</v>
      </c>
      <c r="J600">
        <v>0</v>
      </c>
      <c r="K600">
        <v>25954.1</v>
      </c>
      <c r="L600">
        <v>35679.879999999997</v>
      </c>
      <c r="M600">
        <v>35679.879999999997</v>
      </c>
      <c r="N600">
        <v>0</v>
      </c>
    </row>
    <row r="601" spans="1:14" ht="12.75" x14ac:dyDescent="0.2">
      <c r="A601">
        <v>6952</v>
      </c>
      <c r="B601" s="342">
        <v>38975</v>
      </c>
      <c r="C601" t="s">
        <v>75</v>
      </c>
      <c r="D601">
        <v>0</v>
      </c>
      <c r="E601">
        <v>0</v>
      </c>
      <c r="F601">
        <v>0</v>
      </c>
      <c r="G601">
        <v>0</v>
      </c>
      <c r="H601">
        <v>0</v>
      </c>
      <c r="I601">
        <v>0</v>
      </c>
      <c r="J601">
        <v>0</v>
      </c>
      <c r="K601">
        <v>0</v>
      </c>
      <c r="L601">
        <v>0</v>
      </c>
      <c r="M601">
        <v>0</v>
      </c>
      <c r="N601">
        <v>0</v>
      </c>
    </row>
    <row r="602" spans="1:14" ht="12.75" x14ac:dyDescent="0.2">
      <c r="A602">
        <v>6952</v>
      </c>
      <c r="B602" s="342">
        <v>38976</v>
      </c>
      <c r="C602" t="s">
        <v>1006</v>
      </c>
      <c r="D602">
        <v>2699.45</v>
      </c>
      <c r="E602">
        <v>36379.589999999997</v>
      </c>
      <c r="F602">
        <v>33000</v>
      </c>
      <c r="G602">
        <v>46822.34</v>
      </c>
      <c r="H602">
        <v>46822.34</v>
      </c>
      <c r="I602">
        <v>33000</v>
      </c>
      <c r="J602">
        <v>2699.45</v>
      </c>
      <c r="K602">
        <v>36475.25</v>
      </c>
      <c r="L602">
        <v>46822.34</v>
      </c>
      <c r="M602">
        <v>46822.34</v>
      </c>
      <c r="N602">
        <v>0</v>
      </c>
    </row>
    <row r="603" spans="1:14" ht="12.75" x14ac:dyDescent="0.2">
      <c r="A603">
        <v>6952</v>
      </c>
      <c r="B603" s="342">
        <v>38977</v>
      </c>
      <c r="C603" t="s">
        <v>830</v>
      </c>
      <c r="D603">
        <v>0</v>
      </c>
      <c r="E603">
        <v>0</v>
      </c>
      <c r="F603">
        <v>0</v>
      </c>
      <c r="G603">
        <v>0</v>
      </c>
      <c r="H603">
        <v>0</v>
      </c>
      <c r="I603">
        <v>0</v>
      </c>
      <c r="J603">
        <v>0</v>
      </c>
      <c r="K603">
        <v>0</v>
      </c>
      <c r="L603">
        <v>0</v>
      </c>
      <c r="M603">
        <v>0</v>
      </c>
      <c r="N603">
        <v>0</v>
      </c>
    </row>
    <row r="604" spans="1:14" ht="12.75" x14ac:dyDescent="0.2">
      <c r="A604">
        <v>6952</v>
      </c>
      <c r="B604" s="342">
        <v>38978</v>
      </c>
      <c r="C604" t="s">
        <v>101</v>
      </c>
      <c r="D604">
        <v>0</v>
      </c>
      <c r="E604">
        <v>0</v>
      </c>
      <c r="F604">
        <v>0</v>
      </c>
      <c r="G604">
        <v>0</v>
      </c>
      <c r="H604">
        <v>0</v>
      </c>
      <c r="I604">
        <v>0</v>
      </c>
      <c r="J604">
        <v>0</v>
      </c>
      <c r="K604">
        <v>0</v>
      </c>
      <c r="L604">
        <v>0</v>
      </c>
      <c r="M604">
        <v>0</v>
      </c>
      <c r="N604">
        <v>0</v>
      </c>
    </row>
    <row r="605" spans="1:14" ht="12.75" x14ac:dyDescent="0.2">
      <c r="A605">
        <v>6952</v>
      </c>
      <c r="B605" s="342">
        <v>38979</v>
      </c>
      <c r="C605" t="s">
        <v>831</v>
      </c>
      <c r="D605">
        <v>0</v>
      </c>
      <c r="E605">
        <v>0</v>
      </c>
      <c r="F605">
        <v>0</v>
      </c>
      <c r="G605">
        <v>26.09</v>
      </c>
      <c r="H605">
        <v>26.09</v>
      </c>
      <c r="I605">
        <v>0</v>
      </c>
      <c r="J605">
        <v>0</v>
      </c>
      <c r="K605">
        <v>0</v>
      </c>
      <c r="L605">
        <v>26.09</v>
      </c>
      <c r="M605">
        <v>26.09</v>
      </c>
      <c r="N605">
        <v>0</v>
      </c>
    </row>
    <row r="606" spans="1:14" ht="12.75" x14ac:dyDescent="0.2">
      <c r="A606">
        <v>6952</v>
      </c>
      <c r="B606" s="342">
        <v>38980</v>
      </c>
      <c r="C606" t="s">
        <v>102</v>
      </c>
      <c r="D606">
        <v>0</v>
      </c>
      <c r="E606">
        <v>0</v>
      </c>
      <c r="F606">
        <v>0</v>
      </c>
      <c r="G606">
        <v>0</v>
      </c>
      <c r="H606">
        <v>0</v>
      </c>
      <c r="I606">
        <v>0</v>
      </c>
      <c r="J606">
        <v>0</v>
      </c>
      <c r="K606">
        <v>0</v>
      </c>
      <c r="L606">
        <v>0</v>
      </c>
      <c r="M606">
        <v>0</v>
      </c>
      <c r="N606">
        <v>0</v>
      </c>
    </row>
    <row r="607" spans="1:14" ht="12.75" x14ac:dyDescent="0.2">
      <c r="A607">
        <v>6952</v>
      </c>
      <c r="B607" s="342">
        <v>38987</v>
      </c>
      <c r="C607" t="s">
        <v>832</v>
      </c>
      <c r="D607">
        <v>0</v>
      </c>
      <c r="E607">
        <v>0</v>
      </c>
      <c r="F607">
        <v>0</v>
      </c>
      <c r="G607">
        <v>0</v>
      </c>
      <c r="H607">
        <v>0</v>
      </c>
      <c r="I607">
        <v>0</v>
      </c>
      <c r="J607">
        <v>0</v>
      </c>
      <c r="K607">
        <v>0</v>
      </c>
      <c r="L607">
        <v>0</v>
      </c>
      <c r="M607">
        <v>0</v>
      </c>
      <c r="N607">
        <v>0</v>
      </c>
    </row>
    <row r="608" spans="1:14" ht="12.75" x14ac:dyDescent="0.2">
      <c r="A608">
        <v>6952</v>
      </c>
      <c r="B608" s="342">
        <v>38988</v>
      </c>
      <c r="C608" t="s">
        <v>833</v>
      </c>
      <c r="D608">
        <v>0</v>
      </c>
      <c r="E608">
        <v>0</v>
      </c>
      <c r="F608">
        <v>0</v>
      </c>
      <c r="G608">
        <v>0</v>
      </c>
      <c r="H608">
        <v>0</v>
      </c>
      <c r="I608">
        <v>0</v>
      </c>
      <c r="J608">
        <v>0</v>
      </c>
      <c r="K608">
        <v>0</v>
      </c>
      <c r="L608">
        <v>0</v>
      </c>
      <c r="M608">
        <v>0</v>
      </c>
      <c r="N608">
        <v>0</v>
      </c>
    </row>
    <row r="609" spans="1:14" ht="12.75" x14ac:dyDescent="0.2">
      <c r="A609">
        <v>6952</v>
      </c>
      <c r="B609" s="342">
        <v>38989</v>
      </c>
      <c r="C609" t="s">
        <v>834</v>
      </c>
      <c r="D609">
        <v>0</v>
      </c>
      <c r="E609">
        <v>0</v>
      </c>
      <c r="F609">
        <v>0</v>
      </c>
      <c r="G609">
        <v>99.8</v>
      </c>
      <c r="H609">
        <v>99.8</v>
      </c>
      <c r="I609">
        <v>0</v>
      </c>
      <c r="J609">
        <v>0</v>
      </c>
      <c r="K609">
        <v>0</v>
      </c>
      <c r="L609">
        <v>99.8</v>
      </c>
      <c r="M609">
        <v>99.8</v>
      </c>
      <c r="N609">
        <v>0</v>
      </c>
    </row>
    <row r="610" spans="1:14" ht="12.75" x14ac:dyDescent="0.2">
      <c r="A610">
        <v>6952</v>
      </c>
      <c r="B610" s="342">
        <v>38990</v>
      </c>
      <c r="C610" t="s">
        <v>835</v>
      </c>
      <c r="D610">
        <v>0</v>
      </c>
      <c r="E610">
        <v>0</v>
      </c>
      <c r="F610">
        <v>0</v>
      </c>
      <c r="G610">
        <v>0</v>
      </c>
      <c r="H610">
        <v>0</v>
      </c>
      <c r="I610">
        <v>0</v>
      </c>
      <c r="J610">
        <v>0</v>
      </c>
      <c r="K610">
        <v>0</v>
      </c>
      <c r="L610">
        <v>0</v>
      </c>
      <c r="M610">
        <v>0</v>
      </c>
      <c r="N610">
        <v>0</v>
      </c>
    </row>
    <row r="611" spans="1:14" ht="12.75" x14ac:dyDescent="0.2">
      <c r="A611">
        <v>6952</v>
      </c>
      <c r="B611" s="342">
        <v>38992</v>
      </c>
      <c r="C611" t="s">
        <v>1671</v>
      </c>
      <c r="D611">
        <v>0</v>
      </c>
      <c r="E611">
        <v>227.46</v>
      </c>
      <c r="F611">
        <v>0</v>
      </c>
      <c r="G611">
        <v>694.96</v>
      </c>
      <c r="H611">
        <v>694.96</v>
      </c>
      <c r="I611">
        <v>0</v>
      </c>
      <c r="J611">
        <v>0</v>
      </c>
      <c r="K611">
        <v>227.46</v>
      </c>
      <c r="L611">
        <v>694.96</v>
      </c>
      <c r="M611">
        <v>694.96</v>
      </c>
      <c r="N611">
        <v>0</v>
      </c>
    </row>
    <row r="612" spans="1:14" ht="12.75" x14ac:dyDescent="0.2">
      <c r="A612">
        <v>6952</v>
      </c>
      <c r="B612" s="342">
        <v>38993</v>
      </c>
      <c r="C612" t="s">
        <v>836</v>
      </c>
      <c r="D612">
        <v>0</v>
      </c>
      <c r="E612">
        <v>0</v>
      </c>
      <c r="F612">
        <v>0</v>
      </c>
      <c r="G612">
        <v>0</v>
      </c>
      <c r="H612">
        <v>0</v>
      </c>
      <c r="I612">
        <v>0</v>
      </c>
      <c r="J612">
        <v>0</v>
      </c>
      <c r="K612">
        <v>0</v>
      </c>
      <c r="L612">
        <v>0</v>
      </c>
      <c r="M612">
        <v>0</v>
      </c>
      <c r="N612">
        <v>0</v>
      </c>
    </row>
    <row r="613" spans="1:14" ht="12.75" x14ac:dyDescent="0.2">
      <c r="A613">
        <v>6952</v>
      </c>
      <c r="B613" s="342">
        <v>38995</v>
      </c>
      <c r="C613" t="s">
        <v>837</v>
      </c>
      <c r="D613">
        <v>0</v>
      </c>
      <c r="E613">
        <v>0</v>
      </c>
      <c r="F613">
        <v>0</v>
      </c>
      <c r="G613">
        <v>0</v>
      </c>
      <c r="H613">
        <v>0</v>
      </c>
      <c r="I613">
        <v>0</v>
      </c>
      <c r="J613">
        <v>0</v>
      </c>
      <c r="K613">
        <v>0</v>
      </c>
      <c r="L613">
        <v>0</v>
      </c>
      <c r="M613">
        <v>0</v>
      </c>
      <c r="N613">
        <v>0</v>
      </c>
    </row>
    <row r="614" spans="1:14" ht="12.75" x14ac:dyDescent="0.2">
      <c r="A614">
        <v>6952</v>
      </c>
      <c r="B614" s="342">
        <v>38997</v>
      </c>
      <c r="C614" t="s">
        <v>838</v>
      </c>
      <c r="D614">
        <v>0</v>
      </c>
      <c r="E614">
        <v>0</v>
      </c>
      <c r="F614">
        <v>0</v>
      </c>
      <c r="G614">
        <v>1090.55</v>
      </c>
      <c r="H614">
        <v>1090.55</v>
      </c>
      <c r="I614">
        <v>0</v>
      </c>
      <c r="J614">
        <v>0</v>
      </c>
      <c r="K614">
        <v>0</v>
      </c>
      <c r="L614">
        <v>1090.55</v>
      </c>
      <c r="M614">
        <v>1090.55</v>
      </c>
      <c r="N614">
        <v>0</v>
      </c>
    </row>
    <row r="615" spans="1:14" ht="12.75" x14ac:dyDescent="0.2">
      <c r="A615">
        <v>6952</v>
      </c>
      <c r="B615" s="342">
        <v>38998</v>
      </c>
      <c r="C615" t="s">
        <v>1035</v>
      </c>
      <c r="D615">
        <v>0</v>
      </c>
      <c r="E615">
        <v>0</v>
      </c>
      <c r="F615">
        <v>0</v>
      </c>
      <c r="G615">
        <v>438.02</v>
      </c>
      <c r="H615">
        <v>438.02</v>
      </c>
      <c r="I615">
        <v>0</v>
      </c>
      <c r="J615">
        <v>0</v>
      </c>
      <c r="K615">
        <v>0</v>
      </c>
      <c r="L615">
        <v>438.02</v>
      </c>
      <c r="M615">
        <v>438.02</v>
      </c>
      <c r="N615">
        <v>0</v>
      </c>
    </row>
    <row r="616" spans="1:14" ht="12.75" x14ac:dyDescent="0.2">
      <c r="A616">
        <v>6952</v>
      </c>
      <c r="B616" s="342">
        <v>39001</v>
      </c>
      <c r="C616" t="s">
        <v>1307</v>
      </c>
      <c r="D616">
        <v>35.479999999999997</v>
      </c>
      <c r="E616">
        <v>511.27</v>
      </c>
      <c r="F616">
        <v>600</v>
      </c>
      <c r="G616">
        <v>433.75</v>
      </c>
      <c r="H616">
        <v>433.75</v>
      </c>
      <c r="I616">
        <v>600</v>
      </c>
      <c r="J616">
        <v>35.479999999999997</v>
      </c>
      <c r="K616">
        <v>511.27</v>
      </c>
      <c r="L616">
        <v>433.75</v>
      </c>
      <c r="M616">
        <v>433.75</v>
      </c>
      <c r="N616">
        <v>0</v>
      </c>
    </row>
    <row r="617" spans="1:14" ht="12.75" x14ac:dyDescent="0.2">
      <c r="A617">
        <v>6952</v>
      </c>
      <c r="B617" s="342">
        <v>39002</v>
      </c>
      <c r="C617" t="s">
        <v>839</v>
      </c>
      <c r="D617">
        <v>0</v>
      </c>
      <c r="E617">
        <v>0</v>
      </c>
      <c r="F617">
        <v>0</v>
      </c>
      <c r="G617">
        <v>0</v>
      </c>
      <c r="H617">
        <v>0</v>
      </c>
      <c r="I617">
        <v>0</v>
      </c>
      <c r="J617">
        <v>0</v>
      </c>
      <c r="K617">
        <v>0</v>
      </c>
      <c r="L617">
        <v>0</v>
      </c>
      <c r="M617">
        <v>0</v>
      </c>
      <c r="N617">
        <v>0</v>
      </c>
    </row>
    <row r="618" spans="1:14" ht="12.75" x14ac:dyDescent="0.2">
      <c r="A618">
        <v>6952</v>
      </c>
      <c r="B618" s="342">
        <v>39003</v>
      </c>
      <c r="C618" t="s">
        <v>337</v>
      </c>
      <c r="D618">
        <v>0</v>
      </c>
      <c r="E618">
        <v>0</v>
      </c>
      <c r="F618">
        <v>0</v>
      </c>
      <c r="G618">
        <v>0</v>
      </c>
      <c r="H618">
        <v>0</v>
      </c>
      <c r="I618">
        <v>0</v>
      </c>
      <c r="J618">
        <v>0</v>
      </c>
      <c r="K618">
        <v>0</v>
      </c>
      <c r="L618">
        <v>0</v>
      </c>
      <c r="M618">
        <v>0</v>
      </c>
      <c r="N618">
        <v>0</v>
      </c>
    </row>
    <row r="619" spans="1:14" ht="12.75" x14ac:dyDescent="0.2">
      <c r="A619">
        <v>6952</v>
      </c>
      <c r="B619" s="342">
        <v>39004</v>
      </c>
      <c r="C619" t="s">
        <v>382</v>
      </c>
      <c r="D619">
        <v>0</v>
      </c>
      <c r="E619">
        <v>0</v>
      </c>
      <c r="F619">
        <v>0</v>
      </c>
      <c r="G619">
        <v>0</v>
      </c>
      <c r="H619">
        <v>0</v>
      </c>
      <c r="I619">
        <v>0</v>
      </c>
      <c r="J619">
        <v>0</v>
      </c>
      <c r="K619">
        <v>0</v>
      </c>
      <c r="L619">
        <v>0</v>
      </c>
      <c r="M619">
        <v>0</v>
      </c>
      <c r="N619">
        <v>0</v>
      </c>
    </row>
    <row r="620" spans="1:14" ht="12.75" x14ac:dyDescent="0.2">
      <c r="A620">
        <v>6952</v>
      </c>
      <c r="B620" s="342">
        <v>39005</v>
      </c>
      <c r="C620" t="s">
        <v>431</v>
      </c>
      <c r="D620">
        <v>0</v>
      </c>
      <c r="E620">
        <v>0</v>
      </c>
      <c r="F620">
        <v>0</v>
      </c>
      <c r="G620">
        <v>0</v>
      </c>
      <c r="H620">
        <v>0</v>
      </c>
      <c r="I620">
        <v>0</v>
      </c>
      <c r="J620">
        <v>0</v>
      </c>
      <c r="K620">
        <v>0</v>
      </c>
      <c r="L620">
        <v>0</v>
      </c>
      <c r="M620">
        <v>0</v>
      </c>
      <c r="N620">
        <v>0</v>
      </c>
    </row>
    <row r="621" spans="1:14" ht="12.75" x14ac:dyDescent="0.2">
      <c r="A621">
        <v>6952</v>
      </c>
      <c r="B621" s="342">
        <v>39006</v>
      </c>
      <c r="C621" t="s">
        <v>1308</v>
      </c>
      <c r="D621">
        <v>0</v>
      </c>
      <c r="E621">
        <v>509.13</v>
      </c>
      <c r="F621">
        <v>300</v>
      </c>
      <c r="G621">
        <v>0</v>
      </c>
      <c r="H621">
        <v>0</v>
      </c>
      <c r="I621">
        <v>300</v>
      </c>
      <c r="J621">
        <v>0</v>
      </c>
      <c r="K621">
        <v>509.13</v>
      </c>
      <c r="L621">
        <v>0</v>
      </c>
      <c r="M621">
        <v>0</v>
      </c>
      <c r="N621">
        <v>0</v>
      </c>
    </row>
    <row r="622" spans="1:14" ht="12.75" x14ac:dyDescent="0.2">
      <c r="A622">
        <v>6952</v>
      </c>
      <c r="B622" s="342">
        <v>39007</v>
      </c>
      <c r="C622" t="s">
        <v>1309</v>
      </c>
      <c r="D622">
        <v>377.28</v>
      </c>
      <c r="E622">
        <v>1093.94</v>
      </c>
      <c r="F622">
        <v>500</v>
      </c>
      <c r="G622">
        <v>483.08</v>
      </c>
      <c r="H622">
        <v>483.08</v>
      </c>
      <c r="I622">
        <v>500</v>
      </c>
      <c r="J622">
        <v>377.28</v>
      </c>
      <c r="K622">
        <v>1093.94</v>
      </c>
      <c r="L622">
        <v>483.08</v>
      </c>
      <c r="M622">
        <v>483.08</v>
      </c>
      <c r="N622">
        <v>0</v>
      </c>
    </row>
    <row r="623" spans="1:14" ht="12.75" x14ac:dyDescent="0.2">
      <c r="A623">
        <v>6952</v>
      </c>
      <c r="B623" s="342">
        <v>39008</v>
      </c>
      <c r="C623" t="s">
        <v>1310</v>
      </c>
      <c r="D623">
        <v>0</v>
      </c>
      <c r="E623">
        <v>1003.01</v>
      </c>
      <c r="F623">
        <v>750</v>
      </c>
      <c r="G623">
        <v>200.52</v>
      </c>
      <c r="H623">
        <v>200.52</v>
      </c>
      <c r="I623">
        <v>750</v>
      </c>
      <c r="J623">
        <v>0</v>
      </c>
      <c r="K623">
        <v>1003.01</v>
      </c>
      <c r="L623">
        <v>200.52</v>
      </c>
      <c r="M623">
        <v>200.52</v>
      </c>
      <c r="N623">
        <v>0</v>
      </c>
    </row>
    <row r="624" spans="1:14" ht="12.75" x14ac:dyDescent="0.2">
      <c r="A624">
        <v>6952</v>
      </c>
      <c r="B624" s="342">
        <v>39009</v>
      </c>
      <c r="C624" t="s">
        <v>1311</v>
      </c>
      <c r="D624">
        <v>691.97</v>
      </c>
      <c r="E624">
        <v>3731.04</v>
      </c>
      <c r="F624">
        <v>4200</v>
      </c>
      <c r="G624">
        <v>5253.57</v>
      </c>
      <c r="H624">
        <v>5253.57</v>
      </c>
      <c r="I624">
        <v>4200</v>
      </c>
      <c r="J624">
        <v>691.97</v>
      </c>
      <c r="K624">
        <v>3731.04</v>
      </c>
      <c r="L624">
        <v>5253.57</v>
      </c>
      <c r="M624">
        <v>5253.57</v>
      </c>
      <c r="N624">
        <v>0</v>
      </c>
    </row>
    <row r="625" spans="1:14" ht="12.75" x14ac:dyDescent="0.2">
      <c r="A625">
        <v>6952</v>
      </c>
      <c r="B625" s="342">
        <v>39010</v>
      </c>
      <c r="C625" t="s">
        <v>1312</v>
      </c>
      <c r="D625">
        <v>0</v>
      </c>
      <c r="E625">
        <v>15.65</v>
      </c>
      <c r="F625">
        <v>0</v>
      </c>
      <c r="G625">
        <v>0</v>
      </c>
      <c r="H625">
        <v>0</v>
      </c>
      <c r="I625">
        <v>0</v>
      </c>
      <c r="J625">
        <v>0</v>
      </c>
      <c r="K625">
        <v>15.65</v>
      </c>
      <c r="L625">
        <v>0</v>
      </c>
      <c r="M625">
        <v>0</v>
      </c>
      <c r="N625">
        <v>0</v>
      </c>
    </row>
    <row r="626" spans="1:14" ht="12.75" x14ac:dyDescent="0.2">
      <c r="A626">
        <v>6952</v>
      </c>
      <c r="B626" s="342">
        <v>39011</v>
      </c>
      <c r="C626" t="s">
        <v>1313</v>
      </c>
      <c r="D626">
        <v>0</v>
      </c>
      <c r="E626">
        <v>0</v>
      </c>
      <c r="F626">
        <v>0</v>
      </c>
      <c r="G626">
        <v>0</v>
      </c>
      <c r="H626">
        <v>0</v>
      </c>
      <c r="I626">
        <v>0</v>
      </c>
      <c r="J626">
        <v>0</v>
      </c>
      <c r="K626">
        <v>0</v>
      </c>
      <c r="L626">
        <v>0</v>
      </c>
      <c r="M626">
        <v>0</v>
      </c>
      <c r="N626">
        <v>0</v>
      </c>
    </row>
    <row r="627" spans="1:14" ht="12.75" x14ac:dyDescent="0.2">
      <c r="A627">
        <v>6952</v>
      </c>
      <c r="B627" s="342">
        <v>39013</v>
      </c>
      <c r="C627" t="s">
        <v>1314</v>
      </c>
      <c r="D627">
        <v>0</v>
      </c>
      <c r="E627">
        <v>657.19</v>
      </c>
      <c r="F627">
        <v>1200</v>
      </c>
      <c r="G627">
        <v>918.57</v>
      </c>
      <c r="H627">
        <v>918.57</v>
      </c>
      <c r="I627">
        <v>1200</v>
      </c>
      <c r="J627">
        <v>0</v>
      </c>
      <c r="K627">
        <v>657.19</v>
      </c>
      <c r="L627">
        <v>918.57</v>
      </c>
      <c r="M627">
        <v>918.57</v>
      </c>
      <c r="N627">
        <v>0</v>
      </c>
    </row>
    <row r="628" spans="1:14" ht="12.75" x14ac:dyDescent="0.2">
      <c r="A628">
        <v>6952</v>
      </c>
      <c r="B628" s="342">
        <v>39014</v>
      </c>
      <c r="C628" t="s">
        <v>1315</v>
      </c>
      <c r="D628">
        <v>0</v>
      </c>
      <c r="E628">
        <v>89.84</v>
      </c>
      <c r="F628">
        <v>1000</v>
      </c>
      <c r="G628">
        <v>998.55</v>
      </c>
      <c r="H628">
        <v>998.55</v>
      </c>
      <c r="I628">
        <v>1000</v>
      </c>
      <c r="J628">
        <v>0</v>
      </c>
      <c r="K628">
        <v>89.84</v>
      </c>
      <c r="L628">
        <v>1029.8499999999999</v>
      </c>
      <c r="M628">
        <v>1029.8499999999999</v>
      </c>
      <c r="N628">
        <v>0</v>
      </c>
    </row>
    <row r="629" spans="1:14" ht="12.75" x14ac:dyDescent="0.2">
      <c r="A629">
        <v>6952</v>
      </c>
      <c r="B629" s="342">
        <v>39020</v>
      </c>
      <c r="C629" t="s">
        <v>1316</v>
      </c>
      <c r="D629">
        <v>0</v>
      </c>
      <c r="E629">
        <v>15.22</v>
      </c>
      <c r="F629">
        <v>200</v>
      </c>
      <c r="G629">
        <v>86.28</v>
      </c>
      <c r="H629">
        <v>86.28</v>
      </c>
      <c r="I629">
        <v>200</v>
      </c>
      <c r="J629">
        <v>0</v>
      </c>
      <c r="K629">
        <v>15.22</v>
      </c>
      <c r="L629">
        <v>86.28</v>
      </c>
      <c r="M629">
        <v>86.28</v>
      </c>
      <c r="N629">
        <v>0</v>
      </c>
    </row>
    <row r="630" spans="1:14" ht="12.75" x14ac:dyDescent="0.2">
      <c r="A630">
        <v>6952</v>
      </c>
      <c r="B630" s="342">
        <v>39030</v>
      </c>
      <c r="C630" t="s">
        <v>841</v>
      </c>
      <c r="D630">
        <v>8608.66</v>
      </c>
      <c r="E630">
        <v>51571.28</v>
      </c>
      <c r="F630">
        <v>49734</v>
      </c>
      <c r="G630">
        <v>41875.9</v>
      </c>
      <c r="H630">
        <v>41875.9</v>
      </c>
      <c r="I630">
        <v>49734</v>
      </c>
      <c r="J630">
        <v>8608.66</v>
      </c>
      <c r="K630">
        <v>51965.22</v>
      </c>
      <c r="L630">
        <v>41875.9</v>
      </c>
      <c r="M630">
        <v>41875.9</v>
      </c>
      <c r="N630">
        <v>0</v>
      </c>
    </row>
    <row r="631" spans="1:14" ht="12.75" x14ac:dyDescent="0.2">
      <c r="A631">
        <v>6952</v>
      </c>
      <c r="B631" s="342">
        <v>39031</v>
      </c>
      <c r="C631" t="s">
        <v>372</v>
      </c>
      <c r="D631">
        <v>182.61</v>
      </c>
      <c r="E631">
        <v>881.51</v>
      </c>
      <c r="F631">
        <v>2000</v>
      </c>
      <c r="G631">
        <v>1181.96</v>
      </c>
      <c r="H631">
        <v>1181.96</v>
      </c>
      <c r="I631">
        <v>2000</v>
      </c>
      <c r="J631">
        <v>182.61</v>
      </c>
      <c r="K631">
        <v>881.51</v>
      </c>
      <c r="L631">
        <v>1181.96</v>
      </c>
      <c r="M631">
        <v>1181.96</v>
      </c>
      <c r="N631">
        <v>0</v>
      </c>
    </row>
    <row r="632" spans="1:14" ht="12.75" x14ac:dyDescent="0.2">
      <c r="A632">
        <v>6952</v>
      </c>
      <c r="B632" s="342">
        <v>39032</v>
      </c>
      <c r="C632" t="s">
        <v>276</v>
      </c>
      <c r="D632">
        <v>507.29</v>
      </c>
      <c r="E632">
        <v>3060.13</v>
      </c>
      <c r="F632">
        <v>5000</v>
      </c>
      <c r="G632">
        <v>4880.47</v>
      </c>
      <c r="H632">
        <v>4880.47</v>
      </c>
      <c r="I632">
        <v>5000</v>
      </c>
      <c r="J632">
        <v>507.29</v>
      </c>
      <c r="K632">
        <v>3060.13</v>
      </c>
      <c r="L632">
        <v>4880.47</v>
      </c>
      <c r="M632">
        <v>4880.47</v>
      </c>
      <c r="N632">
        <v>0</v>
      </c>
    </row>
    <row r="633" spans="1:14" ht="12.75" x14ac:dyDescent="0.2">
      <c r="A633">
        <v>6952</v>
      </c>
      <c r="B633">
        <v>39033</v>
      </c>
      <c r="C633" t="s">
        <v>50</v>
      </c>
      <c r="D633">
        <v>0</v>
      </c>
      <c r="E633">
        <v>0</v>
      </c>
      <c r="F633">
        <v>0</v>
      </c>
      <c r="G633">
        <v>0</v>
      </c>
      <c r="H633">
        <v>0</v>
      </c>
      <c r="I633">
        <v>0</v>
      </c>
      <c r="J633">
        <v>0</v>
      </c>
      <c r="K633">
        <v>0</v>
      </c>
      <c r="L633">
        <v>0</v>
      </c>
      <c r="M633">
        <v>0</v>
      </c>
      <c r="N633">
        <v>0</v>
      </c>
    </row>
    <row r="634" spans="1:14" ht="12.75" x14ac:dyDescent="0.2">
      <c r="A634">
        <v>6952</v>
      </c>
      <c r="B634" s="342">
        <v>39034</v>
      </c>
      <c r="C634" t="s">
        <v>333</v>
      </c>
      <c r="D634">
        <v>1281.2</v>
      </c>
      <c r="E634">
        <v>9496.42</v>
      </c>
      <c r="F634">
        <v>10000</v>
      </c>
      <c r="G634">
        <v>9463.8700000000008</v>
      </c>
      <c r="H634">
        <v>9463.8700000000008</v>
      </c>
      <c r="I634">
        <v>10000</v>
      </c>
      <c r="J634">
        <v>1281.2</v>
      </c>
      <c r="K634">
        <v>9496.42</v>
      </c>
      <c r="L634">
        <v>9463.8700000000008</v>
      </c>
      <c r="M634">
        <v>9463.8700000000008</v>
      </c>
      <c r="N634">
        <v>0</v>
      </c>
    </row>
    <row r="635" spans="1:14" ht="12.75" x14ac:dyDescent="0.2">
      <c r="A635">
        <v>6952</v>
      </c>
      <c r="B635" s="342">
        <v>39051</v>
      </c>
      <c r="C635" t="s">
        <v>1317</v>
      </c>
      <c r="D635">
        <v>844.33</v>
      </c>
      <c r="E635">
        <v>2487.2800000000002</v>
      </c>
      <c r="F635">
        <v>1500</v>
      </c>
      <c r="G635">
        <v>1360.9</v>
      </c>
      <c r="H635">
        <v>1360.9</v>
      </c>
      <c r="I635">
        <v>1500</v>
      </c>
      <c r="J635">
        <v>844.33</v>
      </c>
      <c r="K635">
        <v>2487.2800000000002</v>
      </c>
      <c r="L635">
        <v>1360.9</v>
      </c>
      <c r="M635">
        <v>1360.9</v>
      </c>
      <c r="N635">
        <v>0</v>
      </c>
    </row>
    <row r="636" spans="1:14" ht="12.75" x14ac:dyDescent="0.2">
      <c r="A636">
        <v>6952</v>
      </c>
      <c r="B636" s="342">
        <v>39052</v>
      </c>
      <c r="C636" t="s">
        <v>443</v>
      </c>
      <c r="D636">
        <v>0</v>
      </c>
      <c r="E636">
        <v>0</v>
      </c>
      <c r="F636">
        <v>0</v>
      </c>
      <c r="G636">
        <v>0</v>
      </c>
      <c r="H636">
        <v>0</v>
      </c>
      <c r="I636">
        <v>0</v>
      </c>
      <c r="J636">
        <v>0</v>
      </c>
      <c r="K636">
        <v>0</v>
      </c>
      <c r="L636">
        <v>0</v>
      </c>
      <c r="M636">
        <v>0</v>
      </c>
      <c r="N636">
        <v>0</v>
      </c>
    </row>
    <row r="637" spans="1:14" ht="12.75" x14ac:dyDescent="0.2">
      <c r="A637">
        <v>6952</v>
      </c>
      <c r="B637" s="342">
        <v>39053</v>
      </c>
      <c r="C637" t="s">
        <v>337</v>
      </c>
      <c r="D637">
        <v>0</v>
      </c>
      <c r="E637">
        <v>0</v>
      </c>
      <c r="F637">
        <v>0</v>
      </c>
      <c r="G637">
        <v>0</v>
      </c>
      <c r="H637">
        <v>0</v>
      </c>
      <c r="I637">
        <v>0</v>
      </c>
      <c r="J637">
        <v>0</v>
      </c>
      <c r="K637">
        <v>0</v>
      </c>
      <c r="L637">
        <v>0</v>
      </c>
      <c r="M637">
        <v>0</v>
      </c>
      <c r="N637">
        <v>0</v>
      </c>
    </row>
    <row r="638" spans="1:14" ht="12.75" x14ac:dyDescent="0.2">
      <c r="A638">
        <v>6952</v>
      </c>
      <c r="B638" s="342">
        <v>39054</v>
      </c>
      <c r="C638" t="s">
        <v>382</v>
      </c>
      <c r="D638">
        <v>0</v>
      </c>
      <c r="E638">
        <v>0</v>
      </c>
      <c r="F638">
        <v>0</v>
      </c>
      <c r="G638">
        <v>0</v>
      </c>
      <c r="H638">
        <v>0</v>
      </c>
      <c r="I638">
        <v>0</v>
      </c>
      <c r="J638">
        <v>0</v>
      </c>
      <c r="K638">
        <v>0</v>
      </c>
      <c r="L638">
        <v>0</v>
      </c>
      <c r="M638">
        <v>0</v>
      </c>
      <c r="N638">
        <v>0</v>
      </c>
    </row>
    <row r="639" spans="1:14" ht="12.75" x14ac:dyDescent="0.2">
      <c r="A639">
        <v>6952</v>
      </c>
      <c r="B639" s="342">
        <v>39055</v>
      </c>
      <c r="C639" t="s">
        <v>1318</v>
      </c>
      <c r="D639">
        <v>0</v>
      </c>
      <c r="E639">
        <v>0</v>
      </c>
      <c r="F639">
        <v>0</v>
      </c>
      <c r="G639">
        <v>0</v>
      </c>
      <c r="H639">
        <v>0</v>
      </c>
      <c r="I639">
        <v>0</v>
      </c>
      <c r="J639">
        <v>0</v>
      </c>
      <c r="K639">
        <v>0</v>
      </c>
      <c r="L639">
        <v>0</v>
      </c>
      <c r="M639">
        <v>0</v>
      </c>
      <c r="N639">
        <v>0</v>
      </c>
    </row>
    <row r="640" spans="1:14" ht="12.75" x14ac:dyDescent="0.2">
      <c r="A640">
        <v>6952</v>
      </c>
      <c r="B640" s="342">
        <v>39056</v>
      </c>
      <c r="C640" t="s">
        <v>1319</v>
      </c>
      <c r="D640">
        <v>0</v>
      </c>
      <c r="E640">
        <v>0</v>
      </c>
      <c r="F640">
        <v>750</v>
      </c>
      <c r="G640">
        <v>1462.53</v>
      </c>
      <c r="H640">
        <v>1462.53</v>
      </c>
      <c r="I640">
        <v>750</v>
      </c>
      <c r="J640">
        <v>0</v>
      </c>
      <c r="K640">
        <v>0</v>
      </c>
      <c r="L640">
        <v>1462.53</v>
      </c>
      <c r="M640">
        <v>1462.53</v>
      </c>
      <c r="N640">
        <v>0</v>
      </c>
    </row>
    <row r="641" spans="1:14" ht="12.75" x14ac:dyDescent="0.2">
      <c r="A641">
        <v>6952</v>
      </c>
      <c r="B641" s="342">
        <v>39057</v>
      </c>
      <c r="C641" t="s">
        <v>1320</v>
      </c>
      <c r="D641">
        <v>762.09</v>
      </c>
      <c r="E641">
        <v>2616.5500000000002</v>
      </c>
      <c r="F641">
        <v>1500</v>
      </c>
      <c r="G641">
        <v>1627.71</v>
      </c>
      <c r="H641">
        <v>1627.71</v>
      </c>
      <c r="I641">
        <v>1500</v>
      </c>
      <c r="J641">
        <v>762.09</v>
      </c>
      <c r="K641">
        <v>2616.5500000000002</v>
      </c>
      <c r="L641">
        <v>1627.71</v>
      </c>
      <c r="M641">
        <v>1627.71</v>
      </c>
      <c r="N641">
        <v>0</v>
      </c>
    </row>
    <row r="642" spans="1:14" ht="12.75" x14ac:dyDescent="0.2">
      <c r="A642">
        <v>6952</v>
      </c>
      <c r="B642" s="342">
        <v>39058</v>
      </c>
      <c r="C642" t="s">
        <v>1321</v>
      </c>
      <c r="D642">
        <v>233.94</v>
      </c>
      <c r="E642">
        <v>1781.75</v>
      </c>
      <c r="F642">
        <v>2000</v>
      </c>
      <c r="G642">
        <v>2502.4499999999998</v>
      </c>
      <c r="H642">
        <v>2502.4499999999998</v>
      </c>
      <c r="I642">
        <v>2000</v>
      </c>
      <c r="J642">
        <v>233.94</v>
      </c>
      <c r="K642">
        <v>1781.75</v>
      </c>
      <c r="L642">
        <v>2502.4499999999998</v>
      </c>
      <c r="M642">
        <v>2502.4499999999998</v>
      </c>
      <c r="N642">
        <v>0</v>
      </c>
    </row>
    <row r="643" spans="1:14" ht="12.75" x14ac:dyDescent="0.2">
      <c r="A643">
        <v>6952</v>
      </c>
      <c r="B643" s="342">
        <v>39059</v>
      </c>
      <c r="C643" t="s">
        <v>1322</v>
      </c>
      <c r="D643">
        <v>1055.08</v>
      </c>
      <c r="E643">
        <v>5310.46</v>
      </c>
      <c r="F643">
        <v>4000</v>
      </c>
      <c r="G643">
        <v>4447.67</v>
      </c>
      <c r="H643">
        <v>4447.67</v>
      </c>
      <c r="I643">
        <v>4000</v>
      </c>
      <c r="J643">
        <v>1055.08</v>
      </c>
      <c r="K643">
        <v>5376.55</v>
      </c>
      <c r="L643">
        <v>4947.1000000000004</v>
      </c>
      <c r="M643">
        <v>4947.1000000000004</v>
      </c>
      <c r="N643">
        <v>0</v>
      </c>
    </row>
    <row r="644" spans="1:14" ht="12.75" x14ac:dyDescent="0.2">
      <c r="A644">
        <v>6952</v>
      </c>
      <c r="B644" s="342">
        <v>39060</v>
      </c>
      <c r="C644" t="s">
        <v>1323</v>
      </c>
      <c r="D644">
        <v>0</v>
      </c>
      <c r="E644">
        <v>279.49</v>
      </c>
      <c r="F644">
        <v>200</v>
      </c>
      <c r="G644">
        <v>206.52</v>
      </c>
      <c r="H644">
        <v>206.52</v>
      </c>
      <c r="I644">
        <v>200</v>
      </c>
      <c r="J644">
        <v>0</v>
      </c>
      <c r="K644">
        <v>279.49</v>
      </c>
      <c r="L644">
        <v>206.52</v>
      </c>
      <c r="M644">
        <v>206.52</v>
      </c>
      <c r="N644">
        <v>0</v>
      </c>
    </row>
    <row r="645" spans="1:14" ht="12.75" x14ac:dyDescent="0.2">
      <c r="A645">
        <v>6952</v>
      </c>
      <c r="B645" s="342">
        <v>39061</v>
      </c>
      <c r="C645" t="s">
        <v>1324</v>
      </c>
      <c r="D645">
        <v>0</v>
      </c>
      <c r="E645">
        <v>0</v>
      </c>
      <c r="F645">
        <v>0</v>
      </c>
      <c r="G645">
        <v>0</v>
      </c>
      <c r="H645">
        <v>0</v>
      </c>
      <c r="I645">
        <v>0</v>
      </c>
      <c r="J645">
        <v>0</v>
      </c>
      <c r="K645">
        <v>0</v>
      </c>
      <c r="L645">
        <v>0</v>
      </c>
      <c r="M645">
        <v>0</v>
      </c>
      <c r="N645">
        <v>0</v>
      </c>
    </row>
    <row r="646" spans="1:14" ht="12.75" x14ac:dyDescent="0.2">
      <c r="A646">
        <v>6952</v>
      </c>
      <c r="B646" s="342">
        <v>39062</v>
      </c>
      <c r="C646" t="s">
        <v>1325</v>
      </c>
      <c r="D646">
        <v>1335.24</v>
      </c>
      <c r="E646">
        <v>6662.22</v>
      </c>
      <c r="F646">
        <v>5500</v>
      </c>
      <c r="G646">
        <v>5918.89</v>
      </c>
      <c r="H646">
        <v>5918.89</v>
      </c>
      <c r="I646">
        <v>5500</v>
      </c>
      <c r="J646">
        <v>1335.24</v>
      </c>
      <c r="K646">
        <v>6662.22</v>
      </c>
      <c r="L646">
        <v>5918.89</v>
      </c>
      <c r="M646">
        <v>5918.89</v>
      </c>
      <c r="N646">
        <v>0</v>
      </c>
    </row>
    <row r="647" spans="1:14" ht="12.75" x14ac:dyDescent="0.2">
      <c r="A647">
        <v>6952</v>
      </c>
      <c r="B647" s="342">
        <v>39063</v>
      </c>
      <c r="C647" t="s">
        <v>1326</v>
      </c>
      <c r="D647">
        <v>507.39</v>
      </c>
      <c r="E647">
        <v>507.39</v>
      </c>
      <c r="F647">
        <v>750</v>
      </c>
      <c r="G647">
        <v>1428.89</v>
      </c>
      <c r="H647">
        <v>1428.89</v>
      </c>
      <c r="I647">
        <v>750</v>
      </c>
      <c r="J647">
        <v>507.39</v>
      </c>
      <c r="K647">
        <v>507.39</v>
      </c>
      <c r="L647">
        <v>1428.89</v>
      </c>
      <c r="M647">
        <v>1428.89</v>
      </c>
      <c r="N647">
        <v>0</v>
      </c>
    </row>
    <row r="648" spans="1:14" ht="12.75" x14ac:dyDescent="0.2">
      <c r="A648">
        <v>6952</v>
      </c>
      <c r="B648" s="342">
        <v>39064</v>
      </c>
      <c r="C648" t="s">
        <v>1327</v>
      </c>
      <c r="D648">
        <v>0</v>
      </c>
      <c r="E648">
        <v>116.48</v>
      </c>
      <c r="F648">
        <v>200</v>
      </c>
      <c r="G648">
        <v>151.83000000000001</v>
      </c>
      <c r="H648">
        <v>151.83000000000001</v>
      </c>
      <c r="I648">
        <v>200</v>
      </c>
      <c r="J648">
        <v>0</v>
      </c>
      <c r="K648">
        <v>116.48</v>
      </c>
      <c r="L648">
        <v>151.83000000000001</v>
      </c>
      <c r="M648">
        <v>151.83000000000001</v>
      </c>
      <c r="N648">
        <v>0</v>
      </c>
    </row>
    <row r="649" spans="1:14" ht="12.75" x14ac:dyDescent="0.2">
      <c r="A649">
        <v>6952</v>
      </c>
      <c r="B649" s="342">
        <v>39080</v>
      </c>
      <c r="C649" t="s">
        <v>842</v>
      </c>
      <c r="D649">
        <v>20083.310000000001</v>
      </c>
      <c r="E649">
        <v>127561.23</v>
      </c>
      <c r="F649">
        <v>136110</v>
      </c>
      <c r="G649">
        <v>110321.46</v>
      </c>
      <c r="H649">
        <v>110321.46</v>
      </c>
      <c r="I649">
        <v>136110</v>
      </c>
      <c r="J649">
        <v>20083.310000000001</v>
      </c>
      <c r="K649">
        <v>127561.23</v>
      </c>
      <c r="L649">
        <v>110488.35</v>
      </c>
      <c r="M649">
        <v>110488.35</v>
      </c>
      <c r="N649">
        <v>0</v>
      </c>
    </row>
    <row r="650" spans="1:14" ht="12.75" x14ac:dyDescent="0.2">
      <c r="A650">
        <v>6952</v>
      </c>
      <c r="B650" s="342">
        <v>39081</v>
      </c>
      <c r="C650" t="s">
        <v>372</v>
      </c>
      <c r="D650">
        <v>0</v>
      </c>
      <c r="E650">
        <v>523.4</v>
      </c>
      <c r="F650">
        <v>2000</v>
      </c>
      <c r="G650">
        <v>34.200000000000003</v>
      </c>
      <c r="H650">
        <v>34.200000000000003</v>
      </c>
      <c r="I650">
        <v>2000</v>
      </c>
      <c r="J650">
        <v>0</v>
      </c>
      <c r="K650">
        <v>523.4</v>
      </c>
      <c r="L650">
        <v>34.200000000000003</v>
      </c>
      <c r="M650">
        <v>34.200000000000003</v>
      </c>
      <c r="N650">
        <v>0</v>
      </c>
    </row>
    <row r="651" spans="1:14" ht="12.75" x14ac:dyDescent="0.2">
      <c r="A651">
        <v>6952</v>
      </c>
      <c r="B651" s="342">
        <v>39082</v>
      </c>
      <c r="C651" t="s">
        <v>276</v>
      </c>
      <c r="D651">
        <v>464.83</v>
      </c>
      <c r="E651">
        <v>8066.26</v>
      </c>
      <c r="F651">
        <v>5500</v>
      </c>
      <c r="G651">
        <v>5589.63</v>
      </c>
      <c r="H651">
        <v>5589.63</v>
      </c>
      <c r="I651">
        <v>5500</v>
      </c>
      <c r="J651">
        <v>464.83</v>
      </c>
      <c r="K651">
        <v>8066.26</v>
      </c>
      <c r="L651">
        <v>5589.63</v>
      </c>
      <c r="M651">
        <v>5589.63</v>
      </c>
      <c r="N651">
        <v>0</v>
      </c>
    </row>
    <row r="652" spans="1:14" ht="12.75" x14ac:dyDescent="0.2">
      <c r="A652">
        <v>6952</v>
      </c>
      <c r="B652">
        <v>39083</v>
      </c>
      <c r="C652" t="s">
        <v>50</v>
      </c>
      <c r="D652">
        <v>0</v>
      </c>
      <c r="E652">
        <v>0</v>
      </c>
      <c r="F652">
        <v>0</v>
      </c>
      <c r="G652">
        <v>0</v>
      </c>
      <c r="H652">
        <v>0</v>
      </c>
      <c r="I652">
        <v>0</v>
      </c>
      <c r="J652">
        <v>0</v>
      </c>
      <c r="K652">
        <v>0</v>
      </c>
      <c r="L652">
        <v>0</v>
      </c>
      <c r="M652">
        <v>0</v>
      </c>
      <c r="N652">
        <v>0</v>
      </c>
    </row>
    <row r="653" spans="1:14" ht="12.75" x14ac:dyDescent="0.2">
      <c r="A653">
        <v>6952</v>
      </c>
      <c r="B653" s="342">
        <v>39084</v>
      </c>
      <c r="C653" t="s">
        <v>333</v>
      </c>
      <c r="D653">
        <v>1391.94</v>
      </c>
      <c r="E653">
        <v>13250.02</v>
      </c>
      <c r="F653">
        <v>13000</v>
      </c>
      <c r="G653">
        <v>13320.46</v>
      </c>
      <c r="H653">
        <v>13320.46</v>
      </c>
      <c r="I653">
        <v>13000</v>
      </c>
      <c r="J653">
        <v>1391.94</v>
      </c>
      <c r="K653">
        <v>13250.02</v>
      </c>
      <c r="L653">
        <v>13320.46</v>
      </c>
      <c r="M653">
        <v>13320.46</v>
      </c>
      <c r="N653">
        <v>0</v>
      </c>
    </row>
    <row r="654" spans="1:14" ht="12.75" x14ac:dyDescent="0.2">
      <c r="A654">
        <v>6952</v>
      </c>
      <c r="B654" s="342">
        <v>39085</v>
      </c>
      <c r="C654" t="s">
        <v>406</v>
      </c>
      <c r="D654">
        <v>0</v>
      </c>
      <c r="E654">
        <v>0</v>
      </c>
      <c r="F654">
        <v>0</v>
      </c>
      <c r="G654">
        <v>0</v>
      </c>
      <c r="H654">
        <v>0</v>
      </c>
      <c r="I654">
        <v>0</v>
      </c>
      <c r="J654">
        <v>0</v>
      </c>
      <c r="K654">
        <v>0</v>
      </c>
      <c r="L654">
        <v>0</v>
      </c>
      <c r="M654">
        <v>0</v>
      </c>
      <c r="N654">
        <v>0</v>
      </c>
    </row>
    <row r="655" spans="1:14" ht="12.75" x14ac:dyDescent="0.2">
      <c r="A655">
        <v>6952</v>
      </c>
      <c r="B655" s="342">
        <v>39086</v>
      </c>
      <c r="C655" t="s">
        <v>843</v>
      </c>
      <c r="D655">
        <v>0</v>
      </c>
      <c r="E655">
        <v>0</v>
      </c>
      <c r="F655">
        <v>0</v>
      </c>
      <c r="G655">
        <v>0</v>
      </c>
      <c r="H655">
        <v>0</v>
      </c>
      <c r="I655">
        <v>0</v>
      </c>
      <c r="J655">
        <v>0</v>
      </c>
      <c r="K655">
        <v>0</v>
      </c>
      <c r="L655">
        <v>0</v>
      </c>
      <c r="M655">
        <v>0</v>
      </c>
      <c r="N655">
        <v>0</v>
      </c>
    </row>
    <row r="656" spans="1:14" ht="12.75" x14ac:dyDescent="0.2">
      <c r="A656">
        <v>6952</v>
      </c>
      <c r="B656" s="342">
        <v>39101</v>
      </c>
      <c r="C656" t="s">
        <v>1328</v>
      </c>
      <c r="D656">
        <v>0</v>
      </c>
      <c r="E656">
        <v>52.86</v>
      </c>
      <c r="F656">
        <v>500</v>
      </c>
      <c r="G656">
        <v>364.46</v>
      </c>
      <c r="H656">
        <v>364.46</v>
      </c>
      <c r="I656">
        <v>500</v>
      </c>
      <c r="J656">
        <v>0</v>
      </c>
      <c r="K656">
        <v>52.86</v>
      </c>
      <c r="L656">
        <v>364.46</v>
      </c>
      <c r="M656">
        <v>364.46</v>
      </c>
      <c r="N656">
        <v>0</v>
      </c>
    </row>
    <row r="657" spans="1:14" ht="12.75" x14ac:dyDescent="0.2">
      <c r="A657">
        <v>6952</v>
      </c>
      <c r="B657" s="342">
        <v>39102</v>
      </c>
      <c r="C657" t="s">
        <v>443</v>
      </c>
      <c r="D657">
        <v>0</v>
      </c>
      <c r="E657">
        <v>0</v>
      </c>
      <c r="F657">
        <v>0</v>
      </c>
      <c r="G657">
        <v>0</v>
      </c>
      <c r="H657">
        <v>0</v>
      </c>
      <c r="I657">
        <v>0</v>
      </c>
      <c r="J657">
        <v>0</v>
      </c>
      <c r="K657">
        <v>0</v>
      </c>
      <c r="L657">
        <v>0</v>
      </c>
      <c r="M657">
        <v>0</v>
      </c>
      <c r="N657">
        <v>0</v>
      </c>
    </row>
    <row r="658" spans="1:14" ht="12.75" x14ac:dyDescent="0.2">
      <c r="A658">
        <v>6952</v>
      </c>
      <c r="B658" s="342">
        <v>39103</v>
      </c>
      <c r="C658" t="s">
        <v>337</v>
      </c>
      <c r="D658">
        <v>0</v>
      </c>
      <c r="E658">
        <v>0</v>
      </c>
      <c r="F658">
        <v>0</v>
      </c>
      <c r="G658">
        <v>0</v>
      </c>
      <c r="H658">
        <v>0</v>
      </c>
      <c r="I658">
        <v>0</v>
      </c>
      <c r="J658">
        <v>0</v>
      </c>
      <c r="K658">
        <v>0</v>
      </c>
      <c r="L658">
        <v>0</v>
      </c>
      <c r="M658">
        <v>0</v>
      </c>
      <c r="N658">
        <v>0</v>
      </c>
    </row>
    <row r="659" spans="1:14" ht="12.75" x14ac:dyDescent="0.2">
      <c r="A659">
        <v>6952</v>
      </c>
      <c r="B659" s="342">
        <v>39104</v>
      </c>
      <c r="C659" t="s">
        <v>382</v>
      </c>
      <c r="D659">
        <v>0</v>
      </c>
      <c r="E659">
        <v>0</v>
      </c>
      <c r="F659">
        <v>0</v>
      </c>
      <c r="G659">
        <v>0</v>
      </c>
      <c r="H659">
        <v>0</v>
      </c>
      <c r="I659">
        <v>0</v>
      </c>
      <c r="J659">
        <v>0</v>
      </c>
      <c r="K659">
        <v>0</v>
      </c>
      <c r="L659">
        <v>0</v>
      </c>
      <c r="M659">
        <v>0</v>
      </c>
      <c r="N659">
        <v>0</v>
      </c>
    </row>
    <row r="660" spans="1:14" ht="12.75" x14ac:dyDescent="0.2">
      <c r="A660">
        <v>6952</v>
      </c>
      <c r="B660" s="342">
        <v>39105</v>
      </c>
      <c r="C660" t="s">
        <v>431</v>
      </c>
      <c r="D660">
        <v>0</v>
      </c>
      <c r="E660">
        <v>0</v>
      </c>
      <c r="F660">
        <v>0</v>
      </c>
      <c r="G660">
        <v>0</v>
      </c>
      <c r="H660">
        <v>0</v>
      </c>
      <c r="I660">
        <v>0</v>
      </c>
      <c r="J660">
        <v>0</v>
      </c>
      <c r="K660">
        <v>0</v>
      </c>
      <c r="L660">
        <v>0</v>
      </c>
      <c r="M660">
        <v>0</v>
      </c>
      <c r="N660">
        <v>0</v>
      </c>
    </row>
    <row r="661" spans="1:14" ht="12.75" x14ac:dyDescent="0.2">
      <c r="A661">
        <v>6952</v>
      </c>
      <c r="B661" s="342">
        <v>39106</v>
      </c>
      <c r="C661" t="s">
        <v>1329</v>
      </c>
      <c r="D661">
        <v>0</v>
      </c>
      <c r="E661">
        <v>170</v>
      </c>
      <c r="F661">
        <v>300</v>
      </c>
      <c r="G661">
        <v>107.85</v>
      </c>
      <c r="H661">
        <v>107.85</v>
      </c>
      <c r="I661">
        <v>300</v>
      </c>
      <c r="J661">
        <v>0</v>
      </c>
      <c r="K661">
        <v>170</v>
      </c>
      <c r="L661">
        <v>107.85</v>
      </c>
      <c r="M661">
        <v>107.85</v>
      </c>
      <c r="N661">
        <v>0</v>
      </c>
    </row>
    <row r="662" spans="1:14" ht="12.75" x14ac:dyDescent="0.2">
      <c r="A662">
        <v>6952</v>
      </c>
      <c r="B662" s="342">
        <v>39107</v>
      </c>
      <c r="C662" t="s">
        <v>1330</v>
      </c>
      <c r="D662">
        <v>19.97</v>
      </c>
      <c r="E662">
        <v>136.66999999999999</v>
      </c>
      <c r="F662">
        <v>750</v>
      </c>
      <c r="G662">
        <v>519.94000000000005</v>
      </c>
      <c r="H662">
        <v>519.94000000000005</v>
      </c>
      <c r="I662">
        <v>750</v>
      </c>
      <c r="J662">
        <v>19.97</v>
      </c>
      <c r="K662">
        <v>136.66999999999999</v>
      </c>
      <c r="L662">
        <v>519.94000000000005</v>
      </c>
      <c r="M662">
        <v>519.94000000000005</v>
      </c>
      <c r="N662">
        <v>0</v>
      </c>
    </row>
    <row r="663" spans="1:14" ht="12.75" x14ac:dyDescent="0.2">
      <c r="A663">
        <v>6952</v>
      </c>
      <c r="B663" s="342">
        <v>39108</v>
      </c>
      <c r="C663" t="s">
        <v>1331</v>
      </c>
      <c r="D663">
        <v>0</v>
      </c>
      <c r="E663">
        <v>398.41</v>
      </c>
      <c r="F663">
        <v>750</v>
      </c>
      <c r="G663">
        <v>851.89</v>
      </c>
      <c r="H663">
        <v>851.89</v>
      </c>
      <c r="I663">
        <v>750</v>
      </c>
      <c r="J663">
        <v>0</v>
      </c>
      <c r="K663">
        <v>398.41</v>
      </c>
      <c r="L663">
        <v>851.89</v>
      </c>
      <c r="M663">
        <v>851.89</v>
      </c>
      <c r="N663">
        <v>0</v>
      </c>
    </row>
    <row r="664" spans="1:14" ht="12.75" x14ac:dyDescent="0.2">
      <c r="A664">
        <v>6952</v>
      </c>
      <c r="B664" s="342">
        <v>39109</v>
      </c>
      <c r="C664" t="s">
        <v>1332</v>
      </c>
      <c r="D664">
        <v>616.38</v>
      </c>
      <c r="E664">
        <v>2278.48</v>
      </c>
      <c r="F664">
        <v>4500</v>
      </c>
      <c r="G664">
        <v>5569.52</v>
      </c>
      <c r="H664">
        <v>5569.52</v>
      </c>
      <c r="I664">
        <v>4500</v>
      </c>
      <c r="J664">
        <v>616.38</v>
      </c>
      <c r="K664">
        <v>2278.48</v>
      </c>
      <c r="L664">
        <v>5569.52</v>
      </c>
      <c r="M664">
        <v>5569.52</v>
      </c>
      <c r="N664">
        <v>0</v>
      </c>
    </row>
    <row r="665" spans="1:14" ht="12.75" x14ac:dyDescent="0.2">
      <c r="A665">
        <v>6952</v>
      </c>
      <c r="B665" s="342">
        <v>39110</v>
      </c>
      <c r="C665" t="s">
        <v>1333</v>
      </c>
      <c r="D665">
        <v>95.65</v>
      </c>
      <c r="E665">
        <v>236.86</v>
      </c>
      <c r="F665">
        <v>200</v>
      </c>
      <c r="G665">
        <v>135.63999999999999</v>
      </c>
      <c r="H665">
        <v>135.63999999999999</v>
      </c>
      <c r="I665">
        <v>200</v>
      </c>
      <c r="J665">
        <v>95.65</v>
      </c>
      <c r="K665">
        <v>236.86</v>
      </c>
      <c r="L665">
        <v>135.63999999999999</v>
      </c>
      <c r="M665">
        <v>135.63999999999999</v>
      </c>
      <c r="N665">
        <v>0</v>
      </c>
    </row>
    <row r="666" spans="1:14" ht="12.75" x14ac:dyDescent="0.2">
      <c r="A666">
        <v>6952</v>
      </c>
      <c r="B666" s="342">
        <v>39111</v>
      </c>
      <c r="C666" t="s">
        <v>1334</v>
      </c>
      <c r="D666">
        <v>0</v>
      </c>
      <c r="E666">
        <v>0</v>
      </c>
      <c r="F666">
        <v>0</v>
      </c>
      <c r="G666">
        <v>0</v>
      </c>
      <c r="H666">
        <v>0</v>
      </c>
      <c r="I666">
        <v>0</v>
      </c>
      <c r="J666">
        <v>0</v>
      </c>
      <c r="K666">
        <v>0</v>
      </c>
      <c r="L666">
        <v>0</v>
      </c>
      <c r="M666">
        <v>0</v>
      </c>
      <c r="N666">
        <v>0</v>
      </c>
    </row>
    <row r="667" spans="1:14" ht="12.75" x14ac:dyDescent="0.2">
      <c r="A667">
        <v>6952</v>
      </c>
      <c r="B667" s="342">
        <v>39112</v>
      </c>
      <c r="C667" t="s">
        <v>1335</v>
      </c>
      <c r="D667">
        <v>243.73</v>
      </c>
      <c r="E667">
        <v>644.11</v>
      </c>
      <c r="F667">
        <v>500</v>
      </c>
      <c r="G667">
        <v>484.08</v>
      </c>
      <c r="H667">
        <v>484.08</v>
      </c>
      <c r="I667">
        <v>500</v>
      </c>
      <c r="J667">
        <v>243.73</v>
      </c>
      <c r="K667">
        <v>644.11</v>
      </c>
      <c r="L667">
        <v>484.08</v>
      </c>
      <c r="M667">
        <v>484.08</v>
      </c>
      <c r="N667">
        <v>0</v>
      </c>
    </row>
    <row r="668" spans="1:14" ht="12.75" x14ac:dyDescent="0.2">
      <c r="A668">
        <v>6952</v>
      </c>
      <c r="B668" s="342">
        <v>39113</v>
      </c>
      <c r="C668" t="s">
        <v>1336</v>
      </c>
      <c r="D668">
        <v>0</v>
      </c>
      <c r="E668">
        <v>0</v>
      </c>
      <c r="F668">
        <v>0</v>
      </c>
      <c r="G668">
        <v>0</v>
      </c>
      <c r="H668">
        <v>0</v>
      </c>
      <c r="I668">
        <v>0</v>
      </c>
      <c r="J668">
        <v>0</v>
      </c>
      <c r="K668">
        <v>0</v>
      </c>
      <c r="L668">
        <v>0</v>
      </c>
      <c r="M668">
        <v>0</v>
      </c>
      <c r="N668">
        <v>0</v>
      </c>
    </row>
    <row r="669" spans="1:14" ht="12.75" x14ac:dyDescent="0.2">
      <c r="A669">
        <v>6952</v>
      </c>
      <c r="B669" s="342">
        <v>39115</v>
      </c>
      <c r="C669" t="s">
        <v>1337</v>
      </c>
      <c r="D669">
        <v>8.61</v>
      </c>
      <c r="E669">
        <v>8.61</v>
      </c>
      <c r="F669">
        <v>200</v>
      </c>
      <c r="G669">
        <v>78.260000000000005</v>
      </c>
      <c r="H669">
        <v>78.260000000000005</v>
      </c>
      <c r="I669">
        <v>200</v>
      </c>
      <c r="J669">
        <v>8.61</v>
      </c>
      <c r="K669">
        <v>8.61</v>
      </c>
      <c r="L669">
        <v>78.260000000000005</v>
      </c>
      <c r="M669">
        <v>78.260000000000005</v>
      </c>
      <c r="N669">
        <v>0</v>
      </c>
    </row>
    <row r="670" spans="1:14" ht="12.75" x14ac:dyDescent="0.2">
      <c r="A670">
        <v>6952</v>
      </c>
      <c r="B670" s="342">
        <v>39130</v>
      </c>
      <c r="C670" t="s">
        <v>844</v>
      </c>
      <c r="D670">
        <v>2761.71</v>
      </c>
      <c r="E670">
        <v>21070.13</v>
      </c>
      <c r="F670">
        <v>24867</v>
      </c>
      <c r="G670">
        <v>23085.52</v>
      </c>
      <c r="H670">
        <v>23085.52</v>
      </c>
      <c r="I670">
        <v>24867</v>
      </c>
      <c r="J670">
        <v>2761.71</v>
      </c>
      <c r="K670">
        <v>21070.13</v>
      </c>
      <c r="L670">
        <v>23222.14</v>
      </c>
      <c r="M670">
        <v>23222.14</v>
      </c>
      <c r="N670">
        <v>0</v>
      </c>
    </row>
    <row r="671" spans="1:14" ht="12.75" x14ac:dyDescent="0.2">
      <c r="A671">
        <v>6952</v>
      </c>
      <c r="B671" s="342">
        <v>39131</v>
      </c>
      <c r="C671" t="s">
        <v>372</v>
      </c>
      <c r="D671">
        <v>0</v>
      </c>
      <c r="E671">
        <v>0</v>
      </c>
      <c r="F671">
        <v>750</v>
      </c>
      <c r="G671">
        <v>121.74</v>
      </c>
      <c r="H671">
        <v>121.74</v>
      </c>
      <c r="I671">
        <v>750</v>
      </c>
      <c r="J671">
        <v>0</v>
      </c>
      <c r="K671">
        <v>0</v>
      </c>
      <c r="L671">
        <v>121.74</v>
      </c>
      <c r="M671">
        <v>121.74</v>
      </c>
      <c r="N671">
        <v>0</v>
      </c>
    </row>
    <row r="672" spans="1:14" ht="12.75" x14ac:dyDescent="0.2">
      <c r="A672">
        <v>6952</v>
      </c>
      <c r="B672" s="342">
        <v>39132</v>
      </c>
      <c r="C672" t="s">
        <v>276</v>
      </c>
      <c r="D672">
        <v>803.32</v>
      </c>
      <c r="E672">
        <v>1677.75</v>
      </c>
      <c r="F672">
        <v>4000</v>
      </c>
      <c r="G672">
        <v>5002.3900000000003</v>
      </c>
      <c r="H672">
        <v>5002.3900000000003</v>
      </c>
      <c r="I672">
        <v>4000</v>
      </c>
      <c r="J672">
        <v>803.32</v>
      </c>
      <c r="K672">
        <v>1677.75</v>
      </c>
      <c r="L672">
        <v>5002.3900000000003</v>
      </c>
      <c r="M672">
        <v>5002.3900000000003</v>
      </c>
      <c r="N672">
        <v>0</v>
      </c>
    </row>
    <row r="673" spans="1:14" ht="12.75" x14ac:dyDescent="0.2">
      <c r="A673">
        <v>6952</v>
      </c>
      <c r="B673" s="342">
        <v>39134</v>
      </c>
      <c r="C673" t="s">
        <v>333</v>
      </c>
      <c r="D673">
        <v>0</v>
      </c>
      <c r="E673">
        <v>967.71</v>
      </c>
      <c r="F673">
        <v>2200</v>
      </c>
      <c r="G673">
        <v>1123.78</v>
      </c>
      <c r="H673">
        <v>1123.78</v>
      </c>
      <c r="I673">
        <v>2200</v>
      </c>
      <c r="J673">
        <v>0</v>
      </c>
      <c r="K673">
        <v>967.71</v>
      </c>
      <c r="L673">
        <v>1123.78</v>
      </c>
      <c r="M673">
        <v>1123.78</v>
      </c>
      <c r="N673">
        <v>0</v>
      </c>
    </row>
    <row r="674" spans="1:14" ht="12.75" x14ac:dyDescent="0.2">
      <c r="A674">
        <v>6952</v>
      </c>
      <c r="B674" s="342">
        <v>39135</v>
      </c>
      <c r="C674" t="s">
        <v>406</v>
      </c>
      <c r="D674">
        <v>0</v>
      </c>
      <c r="E674">
        <v>0</v>
      </c>
      <c r="F674">
        <v>0</v>
      </c>
      <c r="G674">
        <v>0</v>
      </c>
      <c r="H674">
        <v>0</v>
      </c>
      <c r="I674">
        <v>0</v>
      </c>
      <c r="J674">
        <v>0</v>
      </c>
      <c r="K674">
        <v>0</v>
      </c>
      <c r="L674">
        <v>0</v>
      </c>
      <c r="M674">
        <v>0</v>
      </c>
      <c r="N674">
        <v>0</v>
      </c>
    </row>
    <row r="675" spans="1:14" ht="12.75" x14ac:dyDescent="0.2">
      <c r="A675">
        <v>6952</v>
      </c>
      <c r="B675">
        <v>39136</v>
      </c>
      <c r="C675" t="s">
        <v>48</v>
      </c>
      <c r="D675">
        <v>0</v>
      </c>
      <c r="E675">
        <v>0</v>
      </c>
      <c r="F675">
        <v>0</v>
      </c>
      <c r="G675">
        <v>0</v>
      </c>
      <c r="H675">
        <v>0</v>
      </c>
      <c r="I675">
        <v>0</v>
      </c>
      <c r="J675">
        <v>0</v>
      </c>
      <c r="K675">
        <v>0</v>
      </c>
      <c r="L675">
        <v>0</v>
      </c>
      <c r="M675">
        <v>0</v>
      </c>
      <c r="N675">
        <v>0</v>
      </c>
    </row>
    <row r="676" spans="1:14" ht="12.75" x14ac:dyDescent="0.2">
      <c r="A676">
        <v>6952</v>
      </c>
      <c r="B676" s="342">
        <v>39151</v>
      </c>
      <c r="C676" t="s">
        <v>1338</v>
      </c>
      <c r="D676">
        <v>79.2</v>
      </c>
      <c r="E676">
        <v>894.23</v>
      </c>
      <c r="F676">
        <v>850</v>
      </c>
      <c r="G676">
        <v>739.76</v>
      </c>
      <c r="H676">
        <v>739.76</v>
      </c>
      <c r="I676">
        <v>850</v>
      </c>
      <c r="J676">
        <v>79.2</v>
      </c>
      <c r="K676">
        <v>894.23</v>
      </c>
      <c r="L676">
        <v>739.76</v>
      </c>
      <c r="M676">
        <v>739.76</v>
      </c>
      <c r="N676">
        <v>0</v>
      </c>
    </row>
    <row r="677" spans="1:14" ht="12.75" x14ac:dyDescent="0.2">
      <c r="A677">
        <v>6952</v>
      </c>
      <c r="B677" s="342">
        <v>39152</v>
      </c>
      <c r="C677" t="s">
        <v>443</v>
      </c>
      <c r="D677">
        <v>0</v>
      </c>
      <c r="E677">
        <v>0</v>
      </c>
      <c r="F677">
        <v>0</v>
      </c>
      <c r="G677">
        <v>0</v>
      </c>
      <c r="H677">
        <v>0</v>
      </c>
      <c r="I677">
        <v>0</v>
      </c>
      <c r="J677">
        <v>0</v>
      </c>
      <c r="K677">
        <v>0</v>
      </c>
      <c r="L677">
        <v>0</v>
      </c>
      <c r="M677">
        <v>0</v>
      </c>
      <c r="N677">
        <v>0</v>
      </c>
    </row>
    <row r="678" spans="1:14" ht="12.75" x14ac:dyDescent="0.2">
      <c r="A678">
        <v>6952</v>
      </c>
      <c r="B678" s="342">
        <v>39153</v>
      </c>
      <c r="C678" t="s">
        <v>337</v>
      </c>
      <c r="D678">
        <v>0</v>
      </c>
      <c r="E678">
        <v>0</v>
      </c>
      <c r="F678">
        <v>0</v>
      </c>
      <c r="G678">
        <v>0</v>
      </c>
      <c r="H678">
        <v>0</v>
      </c>
      <c r="I678">
        <v>0</v>
      </c>
      <c r="J678">
        <v>0</v>
      </c>
      <c r="K678">
        <v>0</v>
      </c>
      <c r="L678">
        <v>0</v>
      </c>
      <c r="M678">
        <v>0</v>
      </c>
      <c r="N678">
        <v>0</v>
      </c>
    </row>
    <row r="679" spans="1:14" ht="12.75" x14ac:dyDescent="0.2">
      <c r="A679">
        <v>6952</v>
      </c>
      <c r="B679" s="342">
        <v>39154</v>
      </c>
      <c r="C679" t="s">
        <v>382</v>
      </c>
      <c r="D679">
        <v>0</v>
      </c>
      <c r="E679">
        <v>0</v>
      </c>
      <c r="F679">
        <v>0</v>
      </c>
      <c r="G679">
        <v>0</v>
      </c>
      <c r="H679">
        <v>0</v>
      </c>
      <c r="I679">
        <v>0</v>
      </c>
      <c r="J679">
        <v>0</v>
      </c>
      <c r="K679">
        <v>0</v>
      </c>
      <c r="L679">
        <v>0</v>
      </c>
      <c r="M679">
        <v>0</v>
      </c>
      <c r="N679">
        <v>0</v>
      </c>
    </row>
    <row r="680" spans="1:14" ht="12.75" x14ac:dyDescent="0.2">
      <c r="A680">
        <v>6952</v>
      </c>
      <c r="B680" s="342">
        <v>39155</v>
      </c>
      <c r="C680" t="s">
        <v>431</v>
      </c>
      <c r="D680">
        <v>0</v>
      </c>
      <c r="E680">
        <v>0</v>
      </c>
      <c r="F680">
        <v>0</v>
      </c>
      <c r="G680">
        <v>0</v>
      </c>
      <c r="H680">
        <v>0</v>
      </c>
      <c r="I680">
        <v>0</v>
      </c>
      <c r="J680">
        <v>0</v>
      </c>
      <c r="K680">
        <v>0</v>
      </c>
      <c r="L680">
        <v>0</v>
      </c>
      <c r="M680">
        <v>0</v>
      </c>
      <c r="N680">
        <v>0</v>
      </c>
    </row>
    <row r="681" spans="1:14" ht="12.75" x14ac:dyDescent="0.2">
      <c r="A681">
        <v>6952</v>
      </c>
      <c r="B681" s="342">
        <v>39156</v>
      </c>
      <c r="C681" t="s">
        <v>1339</v>
      </c>
      <c r="D681">
        <v>0</v>
      </c>
      <c r="E681">
        <v>152.59</v>
      </c>
      <c r="F681">
        <v>350</v>
      </c>
      <c r="G681">
        <v>187.31</v>
      </c>
      <c r="H681">
        <v>187.31</v>
      </c>
      <c r="I681">
        <v>350</v>
      </c>
      <c r="J681">
        <v>0</v>
      </c>
      <c r="K681">
        <v>152.59</v>
      </c>
      <c r="L681">
        <v>187.31</v>
      </c>
      <c r="M681">
        <v>187.31</v>
      </c>
      <c r="N681">
        <v>0</v>
      </c>
    </row>
    <row r="682" spans="1:14" ht="12.75" x14ac:dyDescent="0.2">
      <c r="A682">
        <v>6952</v>
      </c>
      <c r="B682" s="342">
        <v>39157</v>
      </c>
      <c r="C682" t="s">
        <v>1340</v>
      </c>
      <c r="D682">
        <v>333.97</v>
      </c>
      <c r="E682">
        <v>1444.15</v>
      </c>
      <c r="F682">
        <v>1000</v>
      </c>
      <c r="G682">
        <v>1204.97</v>
      </c>
      <c r="H682">
        <v>1204.97</v>
      </c>
      <c r="I682">
        <v>1000</v>
      </c>
      <c r="J682">
        <v>333.97</v>
      </c>
      <c r="K682">
        <v>1444.15</v>
      </c>
      <c r="L682">
        <v>1204.97</v>
      </c>
      <c r="M682">
        <v>1204.97</v>
      </c>
      <c r="N682">
        <v>0</v>
      </c>
    </row>
    <row r="683" spans="1:14" ht="12.75" x14ac:dyDescent="0.2">
      <c r="A683">
        <v>6952</v>
      </c>
      <c r="B683" s="342">
        <v>39158</v>
      </c>
      <c r="C683" t="s">
        <v>1341</v>
      </c>
      <c r="D683">
        <v>0</v>
      </c>
      <c r="E683">
        <v>1006.27</v>
      </c>
      <c r="F683">
        <v>750</v>
      </c>
      <c r="G683">
        <v>116.01</v>
      </c>
      <c r="H683">
        <v>116.01</v>
      </c>
      <c r="I683">
        <v>750</v>
      </c>
      <c r="J683">
        <v>0</v>
      </c>
      <c r="K683">
        <v>1006.27</v>
      </c>
      <c r="L683">
        <v>116.01</v>
      </c>
      <c r="M683">
        <v>116.01</v>
      </c>
      <c r="N683">
        <v>0</v>
      </c>
    </row>
    <row r="684" spans="1:14" ht="12.75" x14ac:dyDescent="0.2">
      <c r="A684">
        <v>6952</v>
      </c>
      <c r="B684" s="342">
        <v>39159</v>
      </c>
      <c r="C684" t="s">
        <v>1342</v>
      </c>
      <c r="D684">
        <v>665.65</v>
      </c>
      <c r="E684">
        <v>2827.33</v>
      </c>
      <c r="F684">
        <v>4000</v>
      </c>
      <c r="G684">
        <v>4092.25</v>
      </c>
      <c r="H684">
        <v>4092.25</v>
      </c>
      <c r="I684">
        <v>4000</v>
      </c>
      <c r="J684">
        <v>665.65</v>
      </c>
      <c r="K684">
        <v>2934.68</v>
      </c>
      <c r="L684">
        <v>4092.25</v>
      </c>
      <c r="M684">
        <v>4092.25</v>
      </c>
      <c r="N684">
        <v>0</v>
      </c>
    </row>
    <row r="685" spans="1:14" ht="12.75" x14ac:dyDescent="0.2">
      <c r="A685">
        <v>6952</v>
      </c>
      <c r="B685" s="342">
        <v>39160</v>
      </c>
      <c r="C685" t="s">
        <v>1343</v>
      </c>
      <c r="D685">
        <v>0</v>
      </c>
      <c r="E685">
        <v>149.91999999999999</v>
      </c>
      <c r="F685">
        <v>200</v>
      </c>
      <c r="G685">
        <v>222.67</v>
      </c>
      <c r="H685">
        <v>222.67</v>
      </c>
      <c r="I685">
        <v>200</v>
      </c>
      <c r="J685">
        <v>0</v>
      </c>
      <c r="K685">
        <v>149.91999999999999</v>
      </c>
      <c r="L685">
        <v>222.67</v>
      </c>
      <c r="M685">
        <v>222.67</v>
      </c>
      <c r="N685">
        <v>0</v>
      </c>
    </row>
    <row r="686" spans="1:14" ht="12.75" x14ac:dyDescent="0.2">
      <c r="A686">
        <v>6952</v>
      </c>
      <c r="B686" s="342">
        <v>39161</v>
      </c>
      <c r="C686" t="s">
        <v>1344</v>
      </c>
      <c r="D686">
        <v>0</v>
      </c>
      <c r="E686">
        <v>0</v>
      </c>
      <c r="F686">
        <v>0</v>
      </c>
      <c r="G686">
        <v>0</v>
      </c>
      <c r="H686">
        <v>0</v>
      </c>
      <c r="I686">
        <v>0</v>
      </c>
      <c r="J686">
        <v>0</v>
      </c>
      <c r="K686">
        <v>0</v>
      </c>
      <c r="L686">
        <v>0</v>
      </c>
      <c r="M686">
        <v>0</v>
      </c>
      <c r="N686">
        <v>0</v>
      </c>
    </row>
    <row r="687" spans="1:14" ht="12.75" x14ac:dyDescent="0.2">
      <c r="A687">
        <v>6952</v>
      </c>
      <c r="B687" s="342">
        <v>39163</v>
      </c>
      <c r="C687" t="s">
        <v>1345</v>
      </c>
      <c r="D687">
        <v>26.78</v>
      </c>
      <c r="E687">
        <v>283.14</v>
      </c>
      <c r="F687">
        <v>1000</v>
      </c>
      <c r="G687">
        <v>925.76</v>
      </c>
      <c r="H687">
        <v>925.76</v>
      </c>
      <c r="I687">
        <v>1000</v>
      </c>
      <c r="J687">
        <v>26.78</v>
      </c>
      <c r="K687">
        <v>283.14</v>
      </c>
      <c r="L687">
        <v>925.76</v>
      </c>
      <c r="M687">
        <v>925.76</v>
      </c>
      <c r="N687">
        <v>0</v>
      </c>
    </row>
    <row r="688" spans="1:14" ht="12.75" x14ac:dyDescent="0.2">
      <c r="A688">
        <v>6952</v>
      </c>
      <c r="B688" s="342">
        <v>39164</v>
      </c>
      <c r="C688" t="s">
        <v>1346</v>
      </c>
      <c r="D688">
        <v>27.83</v>
      </c>
      <c r="E688">
        <v>1967.85</v>
      </c>
      <c r="F688">
        <v>1500</v>
      </c>
      <c r="G688">
        <v>1163.5999999999999</v>
      </c>
      <c r="H688">
        <v>1163.5999999999999</v>
      </c>
      <c r="I688">
        <v>1500</v>
      </c>
      <c r="J688">
        <v>27.83</v>
      </c>
      <c r="K688">
        <v>1967.85</v>
      </c>
      <c r="L688">
        <v>1163.5999999999999</v>
      </c>
      <c r="M688">
        <v>1163.5999999999999</v>
      </c>
      <c r="N688">
        <v>0</v>
      </c>
    </row>
    <row r="689" spans="1:14" ht="12.75" x14ac:dyDescent="0.2">
      <c r="A689">
        <v>6952</v>
      </c>
      <c r="B689" s="342">
        <v>39165</v>
      </c>
      <c r="C689" t="s">
        <v>1347</v>
      </c>
      <c r="D689">
        <v>0</v>
      </c>
      <c r="E689">
        <v>46.09</v>
      </c>
      <c r="F689">
        <v>200</v>
      </c>
      <c r="G689">
        <v>70</v>
      </c>
      <c r="H689">
        <v>70</v>
      </c>
      <c r="I689">
        <v>200</v>
      </c>
      <c r="J689">
        <v>0</v>
      </c>
      <c r="K689">
        <v>46.09</v>
      </c>
      <c r="L689">
        <v>70</v>
      </c>
      <c r="M689">
        <v>70</v>
      </c>
      <c r="N689">
        <v>0</v>
      </c>
    </row>
    <row r="690" spans="1:14" ht="12.75" x14ac:dyDescent="0.2">
      <c r="A690">
        <v>6952</v>
      </c>
      <c r="B690" s="342">
        <v>39169</v>
      </c>
      <c r="C690" t="s">
        <v>1348</v>
      </c>
      <c r="D690">
        <v>37.39</v>
      </c>
      <c r="E690">
        <v>122.61</v>
      </c>
      <c r="F690">
        <v>200</v>
      </c>
      <c r="G690">
        <v>17.45</v>
      </c>
      <c r="H690">
        <v>17.45</v>
      </c>
      <c r="I690">
        <v>200</v>
      </c>
      <c r="J690">
        <v>37.39</v>
      </c>
      <c r="K690">
        <v>122.61</v>
      </c>
      <c r="L690">
        <v>17.45</v>
      </c>
      <c r="M690">
        <v>17.45</v>
      </c>
      <c r="N690">
        <v>0</v>
      </c>
    </row>
    <row r="691" spans="1:14" ht="12.75" x14ac:dyDescent="0.2">
      <c r="A691">
        <v>6952</v>
      </c>
      <c r="B691" s="342">
        <v>39170</v>
      </c>
      <c r="C691" t="s">
        <v>343</v>
      </c>
      <c r="D691">
        <v>0</v>
      </c>
      <c r="E691">
        <v>0</v>
      </c>
      <c r="F691">
        <v>0</v>
      </c>
      <c r="G691">
        <v>0</v>
      </c>
      <c r="H691">
        <v>0</v>
      </c>
      <c r="I691">
        <v>0</v>
      </c>
      <c r="J691">
        <v>0</v>
      </c>
      <c r="K691">
        <v>0</v>
      </c>
      <c r="L691">
        <v>0</v>
      </c>
      <c r="M691">
        <v>0</v>
      </c>
      <c r="N691">
        <v>0</v>
      </c>
    </row>
    <row r="692" spans="1:14" ht="12.75" x14ac:dyDescent="0.2">
      <c r="A692">
        <v>6952</v>
      </c>
      <c r="B692" s="342">
        <v>39180</v>
      </c>
      <c r="C692" t="s">
        <v>329</v>
      </c>
      <c r="D692">
        <v>10504.44</v>
      </c>
      <c r="E692">
        <v>66285.31</v>
      </c>
      <c r="F692">
        <v>63380</v>
      </c>
      <c r="G692">
        <v>52942.06</v>
      </c>
      <c r="H692">
        <v>52942.06</v>
      </c>
      <c r="I692">
        <v>63380</v>
      </c>
      <c r="J692">
        <v>10504.44</v>
      </c>
      <c r="K692">
        <v>66285.31</v>
      </c>
      <c r="L692">
        <v>52942.06</v>
      </c>
      <c r="M692">
        <v>52942.06</v>
      </c>
      <c r="N692">
        <v>0</v>
      </c>
    </row>
    <row r="693" spans="1:14" ht="12.75" x14ac:dyDescent="0.2">
      <c r="A693">
        <v>6952</v>
      </c>
      <c r="B693" s="342">
        <v>39181</v>
      </c>
      <c r="C693" t="s">
        <v>372</v>
      </c>
      <c r="D693">
        <v>28.7</v>
      </c>
      <c r="E693">
        <v>1567.54</v>
      </c>
      <c r="F693">
        <v>2000</v>
      </c>
      <c r="G693">
        <v>1939.33</v>
      </c>
      <c r="H693">
        <v>1939.33</v>
      </c>
      <c r="I693">
        <v>2000</v>
      </c>
      <c r="J693">
        <v>28.7</v>
      </c>
      <c r="K693">
        <v>1567.54</v>
      </c>
      <c r="L693">
        <v>1939.33</v>
      </c>
      <c r="M693">
        <v>1939.33</v>
      </c>
      <c r="N693">
        <v>0</v>
      </c>
    </row>
    <row r="694" spans="1:14" ht="12.75" x14ac:dyDescent="0.2">
      <c r="A694">
        <v>6952</v>
      </c>
      <c r="B694" s="342">
        <v>39182</v>
      </c>
      <c r="C694" t="s">
        <v>276</v>
      </c>
      <c r="D694">
        <v>1086.4100000000001</v>
      </c>
      <c r="E694">
        <v>3942.79</v>
      </c>
      <c r="F694">
        <v>3500</v>
      </c>
      <c r="G694">
        <v>4071.99</v>
      </c>
      <c r="H694">
        <v>4071.99</v>
      </c>
      <c r="I694">
        <v>3500</v>
      </c>
      <c r="J694">
        <v>1086.4100000000001</v>
      </c>
      <c r="K694">
        <v>3942.79</v>
      </c>
      <c r="L694">
        <v>4071.99</v>
      </c>
      <c r="M694">
        <v>4071.99</v>
      </c>
      <c r="N694">
        <v>0</v>
      </c>
    </row>
    <row r="695" spans="1:14" ht="12.75" x14ac:dyDescent="0.2">
      <c r="A695">
        <v>6952</v>
      </c>
      <c r="B695">
        <v>39183</v>
      </c>
      <c r="C695" t="s">
        <v>50</v>
      </c>
      <c r="D695">
        <v>0</v>
      </c>
      <c r="E695">
        <v>0</v>
      </c>
      <c r="F695">
        <v>0</v>
      </c>
      <c r="G695">
        <v>0</v>
      </c>
      <c r="H695">
        <v>0</v>
      </c>
      <c r="I695">
        <v>0</v>
      </c>
      <c r="J695">
        <v>0</v>
      </c>
      <c r="K695">
        <v>0</v>
      </c>
      <c r="L695">
        <v>0</v>
      </c>
      <c r="M695">
        <v>0</v>
      </c>
      <c r="N695">
        <v>0</v>
      </c>
    </row>
    <row r="696" spans="1:14" ht="12.75" x14ac:dyDescent="0.2">
      <c r="A696">
        <v>6952</v>
      </c>
      <c r="B696" s="342">
        <v>39184</v>
      </c>
      <c r="C696" t="s">
        <v>333</v>
      </c>
      <c r="D696">
        <v>693.48</v>
      </c>
      <c r="E696">
        <v>6606.84</v>
      </c>
      <c r="F696">
        <v>6500</v>
      </c>
      <c r="G696">
        <v>6154.71</v>
      </c>
      <c r="H696">
        <v>6154.71</v>
      </c>
      <c r="I696">
        <v>6500</v>
      </c>
      <c r="J696">
        <v>693.48</v>
      </c>
      <c r="K696">
        <v>6606.84</v>
      </c>
      <c r="L696">
        <v>6154.71</v>
      </c>
      <c r="M696">
        <v>6154.71</v>
      </c>
      <c r="N696">
        <v>0</v>
      </c>
    </row>
    <row r="697" spans="1:14" ht="12.75" x14ac:dyDescent="0.2">
      <c r="A697">
        <v>6952</v>
      </c>
      <c r="B697" s="342">
        <v>39185</v>
      </c>
      <c r="C697" t="s">
        <v>406</v>
      </c>
      <c r="D697">
        <v>0</v>
      </c>
      <c r="E697">
        <v>0</v>
      </c>
      <c r="F697">
        <v>0</v>
      </c>
      <c r="G697">
        <v>0</v>
      </c>
      <c r="H697">
        <v>0</v>
      </c>
      <c r="I697">
        <v>0</v>
      </c>
      <c r="J697">
        <v>0</v>
      </c>
      <c r="K697">
        <v>0</v>
      </c>
      <c r="L697">
        <v>0</v>
      </c>
      <c r="M697">
        <v>0</v>
      </c>
      <c r="N697">
        <v>0</v>
      </c>
    </row>
    <row r="698" spans="1:14" ht="12.75" x14ac:dyDescent="0.2">
      <c r="A698">
        <v>6952</v>
      </c>
      <c r="B698">
        <v>39200</v>
      </c>
      <c r="C698" t="s">
        <v>1349</v>
      </c>
      <c r="D698">
        <v>0</v>
      </c>
      <c r="E698">
        <v>0</v>
      </c>
      <c r="F698">
        <v>0</v>
      </c>
      <c r="G698">
        <v>0</v>
      </c>
      <c r="H698">
        <v>0</v>
      </c>
      <c r="I698">
        <v>0</v>
      </c>
      <c r="J698">
        <v>0</v>
      </c>
      <c r="K698">
        <v>0</v>
      </c>
      <c r="L698">
        <v>0</v>
      </c>
      <c r="M698">
        <v>0</v>
      </c>
      <c r="N698">
        <v>0</v>
      </c>
    </row>
    <row r="699" spans="1:14" ht="12.75" x14ac:dyDescent="0.2">
      <c r="A699">
        <v>6952</v>
      </c>
      <c r="B699" s="342">
        <v>39201</v>
      </c>
      <c r="C699" t="s">
        <v>1350</v>
      </c>
      <c r="D699">
        <v>0</v>
      </c>
      <c r="E699">
        <v>139.66</v>
      </c>
      <c r="F699">
        <v>500</v>
      </c>
      <c r="G699">
        <v>396.34</v>
      </c>
      <c r="H699">
        <v>396.34</v>
      </c>
      <c r="I699">
        <v>500</v>
      </c>
      <c r="J699">
        <v>0</v>
      </c>
      <c r="K699">
        <v>139.66</v>
      </c>
      <c r="L699">
        <v>396.34</v>
      </c>
      <c r="M699">
        <v>396.34</v>
      </c>
      <c r="N699">
        <v>0</v>
      </c>
    </row>
    <row r="700" spans="1:14" ht="12.75" x14ac:dyDescent="0.2">
      <c r="A700">
        <v>6952</v>
      </c>
      <c r="B700" s="342">
        <v>39202</v>
      </c>
      <c r="C700" t="s">
        <v>443</v>
      </c>
      <c r="D700">
        <v>0</v>
      </c>
      <c r="E700">
        <v>0</v>
      </c>
      <c r="F700">
        <v>0</v>
      </c>
      <c r="G700">
        <v>0</v>
      </c>
      <c r="H700">
        <v>0</v>
      </c>
      <c r="I700">
        <v>0</v>
      </c>
      <c r="J700">
        <v>0</v>
      </c>
      <c r="K700">
        <v>0</v>
      </c>
      <c r="L700">
        <v>0</v>
      </c>
      <c r="M700">
        <v>0</v>
      </c>
      <c r="N700">
        <v>0</v>
      </c>
    </row>
    <row r="701" spans="1:14" ht="12.75" x14ac:dyDescent="0.2">
      <c r="A701">
        <v>6952</v>
      </c>
      <c r="B701" s="342">
        <v>39203</v>
      </c>
      <c r="C701" t="s">
        <v>1351</v>
      </c>
      <c r="D701">
        <v>0</v>
      </c>
      <c r="E701">
        <v>0</v>
      </c>
      <c r="F701">
        <v>0</v>
      </c>
      <c r="G701">
        <v>0</v>
      </c>
      <c r="H701">
        <v>0</v>
      </c>
      <c r="I701">
        <v>0</v>
      </c>
      <c r="J701">
        <v>0</v>
      </c>
      <c r="K701">
        <v>0</v>
      </c>
      <c r="L701">
        <v>0</v>
      </c>
      <c r="M701">
        <v>0</v>
      </c>
      <c r="N701">
        <v>0</v>
      </c>
    </row>
    <row r="702" spans="1:14" ht="12.75" x14ac:dyDescent="0.2">
      <c r="A702">
        <v>6952</v>
      </c>
      <c r="B702" s="342">
        <v>39204</v>
      </c>
      <c r="C702" t="s">
        <v>382</v>
      </c>
      <c r="D702">
        <v>0</v>
      </c>
      <c r="E702">
        <v>0</v>
      </c>
      <c r="F702">
        <v>0</v>
      </c>
      <c r="G702">
        <v>0</v>
      </c>
      <c r="H702">
        <v>0</v>
      </c>
      <c r="I702">
        <v>0</v>
      </c>
      <c r="J702">
        <v>0</v>
      </c>
      <c r="K702">
        <v>0</v>
      </c>
      <c r="L702">
        <v>0</v>
      </c>
      <c r="M702">
        <v>0</v>
      </c>
      <c r="N702">
        <v>0</v>
      </c>
    </row>
    <row r="703" spans="1:14" ht="12.75" x14ac:dyDescent="0.2">
      <c r="A703">
        <v>6952</v>
      </c>
      <c r="B703" s="342">
        <v>39205</v>
      </c>
      <c r="C703" t="s">
        <v>431</v>
      </c>
      <c r="D703">
        <v>0</v>
      </c>
      <c r="E703">
        <v>0</v>
      </c>
      <c r="F703">
        <v>0</v>
      </c>
      <c r="G703">
        <v>0</v>
      </c>
      <c r="H703">
        <v>0</v>
      </c>
      <c r="I703">
        <v>0</v>
      </c>
      <c r="J703">
        <v>0</v>
      </c>
      <c r="K703">
        <v>0</v>
      </c>
      <c r="L703">
        <v>0</v>
      </c>
      <c r="M703">
        <v>0</v>
      </c>
      <c r="N703">
        <v>0</v>
      </c>
    </row>
    <row r="704" spans="1:14" ht="12.75" x14ac:dyDescent="0.2">
      <c r="A704">
        <v>6952</v>
      </c>
      <c r="B704" s="342">
        <v>39206</v>
      </c>
      <c r="C704" t="s">
        <v>384</v>
      </c>
      <c r="D704">
        <v>0</v>
      </c>
      <c r="E704">
        <v>275</v>
      </c>
      <c r="F704">
        <v>0</v>
      </c>
      <c r="G704">
        <v>0</v>
      </c>
      <c r="H704">
        <v>0</v>
      </c>
      <c r="I704">
        <v>0</v>
      </c>
      <c r="J704">
        <v>0</v>
      </c>
      <c r="K704">
        <v>275</v>
      </c>
      <c r="L704">
        <v>0</v>
      </c>
      <c r="M704">
        <v>0</v>
      </c>
      <c r="N704">
        <v>0</v>
      </c>
    </row>
    <row r="705" spans="1:14" ht="12.75" x14ac:dyDescent="0.2">
      <c r="A705">
        <v>6952</v>
      </c>
      <c r="B705" s="342">
        <v>39207</v>
      </c>
      <c r="C705" t="s">
        <v>1352</v>
      </c>
      <c r="D705">
        <v>156.25</v>
      </c>
      <c r="E705">
        <v>434.69</v>
      </c>
      <c r="F705">
        <v>450</v>
      </c>
      <c r="G705">
        <v>472.14</v>
      </c>
      <c r="H705">
        <v>472.14</v>
      </c>
      <c r="I705">
        <v>450</v>
      </c>
      <c r="J705">
        <v>156.25</v>
      </c>
      <c r="K705">
        <v>479.72</v>
      </c>
      <c r="L705">
        <v>472.14</v>
      </c>
      <c r="M705">
        <v>472.14</v>
      </c>
      <c r="N705">
        <v>0</v>
      </c>
    </row>
    <row r="706" spans="1:14" ht="12.75" x14ac:dyDescent="0.2">
      <c r="A706">
        <v>6952</v>
      </c>
      <c r="B706" s="342">
        <v>39208</v>
      </c>
      <c r="C706" t="s">
        <v>1353</v>
      </c>
      <c r="D706">
        <v>0</v>
      </c>
      <c r="E706">
        <v>403.36</v>
      </c>
      <c r="F706">
        <v>1500</v>
      </c>
      <c r="G706">
        <v>1049.26</v>
      </c>
      <c r="H706">
        <v>1049.26</v>
      </c>
      <c r="I706">
        <v>1500</v>
      </c>
      <c r="J706">
        <v>0</v>
      </c>
      <c r="K706">
        <v>403.36</v>
      </c>
      <c r="L706">
        <v>1049.26</v>
      </c>
      <c r="M706">
        <v>1049.26</v>
      </c>
      <c r="N706">
        <v>0</v>
      </c>
    </row>
    <row r="707" spans="1:14" ht="12.75" x14ac:dyDescent="0.2">
      <c r="A707">
        <v>6952</v>
      </c>
      <c r="B707" s="342">
        <v>39209</v>
      </c>
      <c r="C707" t="s">
        <v>1354</v>
      </c>
      <c r="D707">
        <v>733.48</v>
      </c>
      <c r="E707">
        <v>3372.88</v>
      </c>
      <c r="F707">
        <v>2200</v>
      </c>
      <c r="G707">
        <v>2180.13</v>
      </c>
      <c r="H707">
        <v>2180.13</v>
      </c>
      <c r="I707">
        <v>2200</v>
      </c>
      <c r="J707">
        <v>733.48</v>
      </c>
      <c r="K707">
        <v>3372.88</v>
      </c>
      <c r="L707">
        <v>2180.13</v>
      </c>
      <c r="M707">
        <v>2180.13</v>
      </c>
      <c r="N707">
        <v>0</v>
      </c>
    </row>
    <row r="708" spans="1:14" ht="12.75" x14ac:dyDescent="0.2">
      <c r="A708">
        <v>6952</v>
      </c>
      <c r="B708" s="342">
        <v>39210</v>
      </c>
      <c r="C708" t="s">
        <v>1355</v>
      </c>
      <c r="D708">
        <v>0</v>
      </c>
      <c r="E708">
        <v>0</v>
      </c>
      <c r="F708">
        <v>0</v>
      </c>
      <c r="G708">
        <v>0</v>
      </c>
      <c r="H708">
        <v>0</v>
      </c>
      <c r="I708">
        <v>0</v>
      </c>
      <c r="J708">
        <v>0</v>
      </c>
      <c r="K708">
        <v>0</v>
      </c>
      <c r="L708">
        <v>0</v>
      </c>
      <c r="M708">
        <v>0</v>
      </c>
      <c r="N708">
        <v>0</v>
      </c>
    </row>
    <row r="709" spans="1:14" ht="12.75" x14ac:dyDescent="0.2">
      <c r="A709">
        <v>6952</v>
      </c>
      <c r="B709" s="342">
        <v>39211</v>
      </c>
      <c r="C709" t="s">
        <v>385</v>
      </c>
      <c r="D709">
        <v>0</v>
      </c>
      <c r="E709">
        <v>0</v>
      </c>
      <c r="F709">
        <v>0</v>
      </c>
      <c r="G709">
        <v>0</v>
      </c>
      <c r="H709">
        <v>0</v>
      </c>
      <c r="I709">
        <v>0</v>
      </c>
      <c r="J709">
        <v>0</v>
      </c>
      <c r="K709">
        <v>0</v>
      </c>
      <c r="L709">
        <v>0</v>
      </c>
      <c r="M709">
        <v>0</v>
      </c>
      <c r="N709">
        <v>0</v>
      </c>
    </row>
    <row r="710" spans="1:14" ht="12.75" x14ac:dyDescent="0.2">
      <c r="A710">
        <v>6952</v>
      </c>
      <c r="B710" s="342">
        <v>39214</v>
      </c>
      <c r="C710" t="s">
        <v>1356</v>
      </c>
      <c r="D710">
        <v>0</v>
      </c>
      <c r="E710">
        <v>187.04</v>
      </c>
      <c r="F710">
        <v>500</v>
      </c>
      <c r="G710">
        <v>318.27</v>
      </c>
      <c r="H710">
        <v>318.27</v>
      </c>
      <c r="I710">
        <v>500</v>
      </c>
      <c r="J710">
        <v>0</v>
      </c>
      <c r="K710">
        <v>187.04</v>
      </c>
      <c r="L710">
        <v>318.27</v>
      </c>
      <c r="M710">
        <v>318.27</v>
      </c>
      <c r="N710">
        <v>0</v>
      </c>
    </row>
    <row r="711" spans="1:14" ht="12.75" x14ac:dyDescent="0.2">
      <c r="A711">
        <v>6952</v>
      </c>
      <c r="B711" s="342">
        <v>39215</v>
      </c>
      <c r="C711" t="s">
        <v>1357</v>
      </c>
      <c r="D711">
        <v>0</v>
      </c>
      <c r="E711">
        <v>0</v>
      </c>
      <c r="F711">
        <v>200</v>
      </c>
      <c r="G711">
        <v>109.03</v>
      </c>
      <c r="H711">
        <v>109.03</v>
      </c>
      <c r="I711">
        <v>200</v>
      </c>
      <c r="J711">
        <v>0</v>
      </c>
      <c r="K711">
        <v>0</v>
      </c>
      <c r="L711">
        <v>109.03</v>
      </c>
      <c r="M711">
        <v>109.03</v>
      </c>
      <c r="N711">
        <v>0</v>
      </c>
    </row>
    <row r="712" spans="1:14" ht="12.75" x14ac:dyDescent="0.2">
      <c r="A712">
        <v>6952</v>
      </c>
      <c r="B712" s="342">
        <v>39230</v>
      </c>
      <c r="C712" t="s">
        <v>845</v>
      </c>
      <c r="D712">
        <v>6789.37</v>
      </c>
      <c r="E712">
        <v>33658.269999999997</v>
      </c>
      <c r="F712">
        <v>35167</v>
      </c>
      <c r="G712">
        <v>36557.629999999997</v>
      </c>
      <c r="H712">
        <v>36557.629999999997</v>
      </c>
      <c r="I712">
        <v>35167</v>
      </c>
      <c r="J712">
        <v>6789.37</v>
      </c>
      <c r="K712">
        <v>33658.269999999997</v>
      </c>
      <c r="L712">
        <v>36557.629999999997</v>
      </c>
      <c r="M712">
        <v>36557.629999999997</v>
      </c>
      <c r="N712">
        <v>0</v>
      </c>
    </row>
    <row r="713" spans="1:14" ht="12.75" x14ac:dyDescent="0.2">
      <c r="A713">
        <v>6952</v>
      </c>
      <c r="B713" s="342">
        <v>39231</v>
      </c>
      <c r="C713" t="s">
        <v>372</v>
      </c>
      <c r="D713">
        <v>0</v>
      </c>
      <c r="E713">
        <v>0</v>
      </c>
      <c r="F713">
        <v>750</v>
      </c>
      <c r="G713">
        <v>469.56</v>
      </c>
      <c r="H713">
        <v>469.56</v>
      </c>
      <c r="I713">
        <v>750</v>
      </c>
      <c r="J713">
        <v>0</v>
      </c>
      <c r="K713">
        <v>0</v>
      </c>
      <c r="L713">
        <v>469.56</v>
      </c>
      <c r="M713">
        <v>469.56</v>
      </c>
      <c r="N713">
        <v>0</v>
      </c>
    </row>
    <row r="714" spans="1:14" ht="12.75" x14ac:dyDescent="0.2">
      <c r="A714">
        <v>6952</v>
      </c>
      <c r="B714" s="342">
        <v>39232</v>
      </c>
      <c r="C714" t="s">
        <v>276</v>
      </c>
      <c r="D714">
        <v>720.44</v>
      </c>
      <c r="E714">
        <v>3038.5</v>
      </c>
      <c r="F714">
        <v>3000</v>
      </c>
      <c r="G714">
        <v>2301.67</v>
      </c>
      <c r="H714">
        <v>2301.67</v>
      </c>
      <c r="I714">
        <v>3000</v>
      </c>
      <c r="J714">
        <v>720.44</v>
      </c>
      <c r="K714">
        <v>3038.5</v>
      </c>
      <c r="L714">
        <v>2301.67</v>
      </c>
      <c r="M714">
        <v>2301.67</v>
      </c>
      <c r="N714">
        <v>0</v>
      </c>
    </row>
    <row r="715" spans="1:14" ht="12.75" x14ac:dyDescent="0.2">
      <c r="A715">
        <v>6952</v>
      </c>
      <c r="B715" s="342">
        <v>39234</v>
      </c>
      <c r="C715" t="s">
        <v>333</v>
      </c>
      <c r="D715">
        <v>345.23</v>
      </c>
      <c r="E715">
        <v>3827.9</v>
      </c>
      <c r="F715">
        <v>6000</v>
      </c>
      <c r="G715">
        <v>5908.78</v>
      </c>
      <c r="H715">
        <v>5908.78</v>
      </c>
      <c r="I715">
        <v>6000</v>
      </c>
      <c r="J715">
        <v>345.23</v>
      </c>
      <c r="K715">
        <v>3827.9</v>
      </c>
      <c r="L715">
        <v>5908.78</v>
      </c>
      <c r="M715">
        <v>5908.78</v>
      </c>
      <c r="N715">
        <v>0</v>
      </c>
    </row>
    <row r="716" spans="1:14" ht="12.75" x14ac:dyDescent="0.2">
      <c r="A716">
        <v>6952</v>
      </c>
      <c r="B716" s="342">
        <v>39235</v>
      </c>
      <c r="C716" t="s">
        <v>406</v>
      </c>
      <c r="D716">
        <v>0</v>
      </c>
      <c r="E716">
        <v>0</v>
      </c>
      <c r="F716">
        <v>0</v>
      </c>
      <c r="G716">
        <v>0</v>
      </c>
      <c r="H716">
        <v>0</v>
      </c>
      <c r="I716">
        <v>0</v>
      </c>
      <c r="J716">
        <v>0</v>
      </c>
      <c r="K716">
        <v>0</v>
      </c>
      <c r="L716">
        <v>0</v>
      </c>
      <c r="M716">
        <v>0</v>
      </c>
      <c r="N716">
        <v>0</v>
      </c>
    </row>
    <row r="717" spans="1:14" ht="12.75" x14ac:dyDescent="0.2">
      <c r="A717">
        <v>6952</v>
      </c>
      <c r="B717">
        <v>39250</v>
      </c>
      <c r="C717" t="s">
        <v>1358</v>
      </c>
      <c r="D717">
        <v>0</v>
      </c>
      <c r="E717">
        <v>0</v>
      </c>
      <c r="F717">
        <v>0</v>
      </c>
      <c r="G717">
        <v>0</v>
      </c>
      <c r="H717">
        <v>0</v>
      </c>
      <c r="I717">
        <v>0</v>
      </c>
      <c r="J717">
        <v>0</v>
      </c>
      <c r="K717">
        <v>0</v>
      </c>
      <c r="L717">
        <v>0</v>
      </c>
      <c r="M717">
        <v>0</v>
      </c>
      <c r="N717">
        <v>0</v>
      </c>
    </row>
    <row r="718" spans="1:14" ht="12.75" x14ac:dyDescent="0.2">
      <c r="A718">
        <v>6952</v>
      </c>
      <c r="B718" s="342">
        <v>39251</v>
      </c>
      <c r="C718" t="s">
        <v>1359</v>
      </c>
      <c r="D718">
        <v>104.56</v>
      </c>
      <c r="E718">
        <v>843.62</v>
      </c>
      <c r="F718">
        <v>800</v>
      </c>
      <c r="G718">
        <v>660.59</v>
      </c>
      <c r="H718">
        <v>660.59</v>
      </c>
      <c r="I718">
        <v>800</v>
      </c>
      <c r="J718">
        <v>104.56</v>
      </c>
      <c r="K718">
        <v>843.62</v>
      </c>
      <c r="L718">
        <v>660.59</v>
      </c>
      <c r="M718">
        <v>660.59</v>
      </c>
      <c r="N718">
        <v>0</v>
      </c>
    </row>
    <row r="719" spans="1:14" ht="12.75" x14ac:dyDescent="0.2">
      <c r="A719">
        <v>6952</v>
      </c>
      <c r="B719" s="342">
        <v>39252</v>
      </c>
      <c r="C719" t="s">
        <v>443</v>
      </c>
      <c r="D719">
        <v>0</v>
      </c>
      <c r="E719">
        <v>0</v>
      </c>
      <c r="F719">
        <v>0</v>
      </c>
      <c r="G719">
        <v>0</v>
      </c>
      <c r="H719">
        <v>0</v>
      </c>
      <c r="I719">
        <v>0</v>
      </c>
      <c r="J719">
        <v>0</v>
      </c>
      <c r="K719">
        <v>0</v>
      </c>
      <c r="L719">
        <v>0</v>
      </c>
      <c r="M719">
        <v>0</v>
      </c>
      <c r="N719">
        <v>0</v>
      </c>
    </row>
    <row r="720" spans="1:14" ht="12.75" x14ac:dyDescent="0.2">
      <c r="A720">
        <v>6952</v>
      </c>
      <c r="B720" s="342">
        <v>39254</v>
      </c>
      <c r="C720" t="s">
        <v>1360</v>
      </c>
      <c r="D720">
        <v>0</v>
      </c>
      <c r="E720">
        <v>0</v>
      </c>
      <c r="F720">
        <v>0</v>
      </c>
      <c r="G720">
        <v>0</v>
      </c>
      <c r="H720">
        <v>0</v>
      </c>
      <c r="I720">
        <v>0</v>
      </c>
      <c r="J720">
        <v>0</v>
      </c>
      <c r="K720">
        <v>0</v>
      </c>
      <c r="L720">
        <v>0</v>
      </c>
      <c r="M720">
        <v>0</v>
      </c>
      <c r="N720">
        <v>0</v>
      </c>
    </row>
    <row r="721" spans="1:14" ht="12.75" x14ac:dyDescent="0.2">
      <c r="A721">
        <v>6952</v>
      </c>
      <c r="B721" s="342">
        <v>39255</v>
      </c>
      <c r="C721" t="s">
        <v>431</v>
      </c>
      <c r="D721">
        <v>0</v>
      </c>
      <c r="E721">
        <v>0</v>
      </c>
      <c r="F721">
        <v>0</v>
      </c>
      <c r="G721">
        <v>0</v>
      </c>
      <c r="H721">
        <v>0</v>
      </c>
      <c r="I721">
        <v>0</v>
      </c>
      <c r="J721">
        <v>0</v>
      </c>
      <c r="K721">
        <v>0</v>
      </c>
      <c r="L721">
        <v>0</v>
      </c>
      <c r="M721">
        <v>0</v>
      </c>
      <c r="N721">
        <v>0</v>
      </c>
    </row>
    <row r="722" spans="1:14" ht="12.75" x14ac:dyDescent="0.2">
      <c r="A722">
        <v>6952</v>
      </c>
      <c r="B722" s="342">
        <v>39256</v>
      </c>
      <c r="C722" t="s">
        <v>1361</v>
      </c>
      <c r="D722">
        <v>0</v>
      </c>
      <c r="E722">
        <v>79.569999999999993</v>
      </c>
      <c r="F722">
        <v>350</v>
      </c>
      <c r="G722">
        <v>473.59</v>
      </c>
      <c r="H722">
        <v>473.59</v>
      </c>
      <c r="I722">
        <v>350</v>
      </c>
      <c r="J722">
        <v>0</v>
      </c>
      <c r="K722">
        <v>79.569999999999993</v>
      </c>
      <c r="L722">
        <v>473.59</v>
      </c>
      <c r="M722">
        <v>473.59</v>
      </c>
      <c r="N722">
        <v>0</v>
      </c>
    </row>
    <row r="723" spans="1:14" ht="12.75" x14ac:dyDescent="0.2">
      <c r="A723">
        <v>6952</v>
      </c>
      <c r="B723" s="342">
        <v>39257</v>
      </c>
      <c r="C723" t="s">
        <v>1362</v>
      </c>
      <c r="D723">
        <v>193.36</v>
      </c>
      <c r="E723">
        <v>1345.9</v>
      </c>
      <c r="F723">
        <v>1000</v>
      </c>
      <c r="G723">
        <v>1150.07</v>
      </c>
      <c r="H723">
        <v>1150.07</v>
      </c>
      <c r="I723">
        <v>1000</v>
      </c>
      <c r="J723">
        <v>193.36</v>
      </c>
      <c r="K723">
        <v>1345.9</v>
      </c>
      <c r="L723">
        <v>1150.07</v>
      </c>
      <c r="M723">
        <v>1150.07</v>
      </c>
      <c r="N723">
        <v>0</v>
      </c>
    </row>
    <row r="724" spans="1:14" ht="12.75" x14ac:dyDescent="0.2">
      <c r="A724">
        <v>6952</v>
      </c>
      <c r="B724" s="342">
        <v>39258</v>
      </c>
      <c r="C724" t="s">
        <v>1363</v>
      </c>
      <c r="D724">
        <v>219.89</v>
      </c>
      <c r="E724">
        <v>918.55</v>
      </c>
      <c r="F724">
        <v>1200</v>
      </c>
      <c r="G724">
        <v>1653.46</v>
      </c>
      <c r="H724">
        <v>1653.46</v>
      </c>
      <c r="I724">
        <v>1200</v>
      </c>
      <c r="J724">
        <v>219.89</v>
      </c>
      <c r="K724">
        <v>918.55</v>
      </c>
      <c r="L724">
        <v>1653.46</v>
      </c>
      <c r="M724">
        <v>1653.46</v>
      </c>
      <c r="N724">
        <v>0</v>
      </c>
    </row>
    <row r="725" spans="1:14" ht="12.75" x14ac:dyDescent="0.2">
      <c r="A725">
        <v>6952</v>
      </c>
      <c r="B725" s="342">
        <v>39259</v>
      </c>
      <c r="C725" t="s">
        <v>1364</v>
      </c>
      <c r="D725">
        <v>989.33</v>
      </c>
      <c r="E725">
        <v>3006.1</v>
      </c>
      <c r="F725">
        <v>4200</v>
      </c>
      <c r="G725">
        <v>3454.49</v>
      </c>
      <c r="H725">
        <v>3454.49</v>
      </c>
      <c r="I725">
        <v>4200</v>
      </c>
      <c r="J725">
        <v>989.33</v>
      </c>
      <c r="K725">
        <v>3006.1</v>
      </c>
      <c r="L725">
        <v>3454.49</v>
      </c>
      <c r="M725">
        <v>3454.49</v>
      </c>
      <c r="N725">
        <v>0</v>
      </c>
    </row>
    <row r="726" spans="1:14" ht="12.75" x14ac:dyDescent="0.2">
      <c r="A726">
        <v>6952</v>
      </c>
      <c r="B726" s="342">
        <v>39260</v>
      </c>
      <c r="C726" t="s">
        <v>1365</v>
      </c>
      <c r="D726">
        <v>0</v>
      </c>
      <c r="E726">
        <v>170.72</v>
      </c>
      <c r="F726">
        <v>0</v>
      </c>
      <c r="G726">
        <v>0</v>
      </c>
      <c r="H726">
        <v>0</v>
      </c>
      <c r="I726">
        <v>0</v>
      </c>
      <c r="J726">
        <v>0</v>
      </c>
      <c r="K726">
        <v>170.72</v>
      </c>
      <c r="L726">
        <v>0</v>
      </c>
      <c r="M726">
        <v>0</v>
      </c>
      <c r="N726">
        <v>0</v>
      </c>
    </row>
    <row r="727" spans="1:14" ht="12.75" x14ac:dyDescent="0.2">
      <c r="A727">
        <v>6952</v>
      </c>
      <c r="B727" s="342">
        <v>39261</v>
      </c>
      <c r="C727" t="s">
        <v>1366</v>
      </c>
      <c r="D727">
        <v>0</v>
      </c>
      <c r="E727">
        <v>138.26</v>
      </c>
      <c r="F727">
        <v>0</v>
      </c>
      <c r="G727">
        <v>0</v>
      </c>
      <c r="H727">
        <v>0</v>
      </c>
      <c r="I727">
        <v>0</v>
      </c>
      <c r="J727">
        <v>0</v>
      </c>
      <c r="K727">
        <v>138.26</v>
      </c>
      <c r="L727">
        <v>0</v>
      </c>
      <c r="M727">
        <v>0</v>
      </c>
      <c r="N727">
        <v>0</v>
      </c>
    </row>
    <row r="728" spans="1:14" ht="12.75" x14ac:dyDescent="0.2">
      <c r="A728">
        <v>6952</v>
      </c>
      <c r="B728" s="342">
        <v>39263</v>
      </c>
      <c r="C728" t="s">
        <v>1367</v>
      </c>
      <c r="D728">
        <v>0</v>
      </c>
      <c r="E728">
        <v>427.65</v>
      </c>
      <c r="F728">
        <v>500</v>
      </c>
      <c r="G728">
        <v>520.22</v>
      </c>
      <c r="H728">
        <v>520.22</v>
      </c>
      <c r="I728">
        <v>500</v>
      </c>
      <c r="J728">
        <v>0</v>
      </c>
      <c r="K728">
        <v>427.65</v>
      </c>
      <c r="L728">
        <v>520.22</v>
      </c>
      <c r="M728">
        <v>520.22</v>
      </c>
      <c r="N728">
        <v>0</v>
      </c>
    </row>
    <row r="729" spans="1:14" ht="12.75" x14ac:dyDescent="0.2">
      <c r="A729">
        <v>6952</v>
      </c>
      <c r="B729" s="342">
        <v>39264</v>
      </c>
      <c r="C729" t="s">
        <v>1368</v>
      </c>
      <c r="D729">
        <v>55.22</v>
      </c>
      <c r="E729">
        <v>131.09</v>
      </c>
      <c r="F729">
        <v>200</v>
      </c>
      <c r="G729">
        <v>519.96</v>
      </c>
      <c r="H729">
        <v>519.96</v>
      </c>
      <c r="I729">
        <v>200</v>
      </c>
      <c r="J729">
        <v>55.22</v>
      </c>
      <c r="K729">
        <v>131.09</v>
      </c>
      <c r="L729">
        <v>519.96</v>
      </c>
      <c r="M729">
        <v>519.96</v>
      </c>
      <c r="N729">
        <v>0</v>
      </c>
    </row>
    <row r="730" spans="1:14" ht="12.75" x14ac:dyDescent="0.2">
      <c r="A730">
        <v>6952</v>
      </c>
      <c r="B730" s="342">
        <v>39265</v>
      </c>
      <c r="C730" t="s">
        <v>433</v>
      </c>
      <c r="D730">
        <v>0</v>
      </c>
      <c r="E730">
        <v>0</v>
      </c>
      <c r="F730">
        <v>0</v>
      </c>
      <c r="G730">
        <v>0</v>
      </c>
      <c r="H730">
        <v>0</v>
      </c>
      <c r="I730">
        <v>0</v>
      </c>
      <c r="J730">
        <v>0</v>
      </c>
      <c r="K730">
        <v>0</v>
      </c>
      <c r="L730">
        <v>0</v>
      </c>
      <c r="M730">
        <v>0</v>
      </c>
      <c r="N730">
        <v>0</v>
      </c>
    </row>
    <row r="731" spans="1:14" ht="12.75" x14ac:dyDescent="0.2">
      <c r="A731">
        <v>6952</v>
      </c>
      <c r="B731" s="342">
        <v>39280</v>
      </c>
      <c r="C731" t="s">
        <v>846</v>
      </c>
      <c r="D731">
        <v>8410.89</v>
      </c>
      <c r="E731">
        <v>45452.56</v>
      </c>
      <c r="F731">
        <v>49734</v>
      </c>
      <c r="G731">
        <v>33655.08</v>
      </c>
      <c r="H731">
        <v>33655.08</v>
      </c>
      <c r="I731">
        <v>49734</v>
      </c>
      <c r="J731">
        <v>8410.89</v>
      </c>
      <c r="K731">
        <v>45452.56</v>
      </c>
      <c r="L731">
        <v>33840.089999999997</v>
      </c>
      <c r="M731">
        <v>33840.089999999997</v>
      </c>
      <c r="N731">
        <v>0</v>
      </c>
    </row>
    <row r="732" spans="1:14" ht="12.75" x14ac:dyDescent="0.2">
      <c r="A732">
        <v>6952</v>
      </c>
      <c r="B732" s="342">
        <v>39281</v>
      </c>
      <c r="C732" t="s">
        <v>372</v>
      </c>
      <c r="D732">
        <v>0</v>
      </c>
      <c r="E732">
        <v>121.74</v>
      </c>
      <c r="F732">
        <v>2000</v>
      </c>
      <c r="G732">
        <v>1477.63</v>
      </c>
      <c r="H732">
        <v>1477.63</v>
      </c>
      <c r="I732">
        <v>2000</v>
      </c>
      <c r="J732">
        <v>0</v>
      </c>
      <c r="K732">
        <v>121.74</v>
      </c>
      <c r="L732">
        <v>1477.63</v>
      </c>
      <c r="M732">
        <v>1477.63</v>
      </c>
      <c r="N732">
        <v>0</v>
      </c>
    </row>
    <row r="733" spans="1:14" ht="12.75" x14ac:dyDescent="0.2">
      <c r="A733">
        <v>6952</v>
      </c>
      <c r="B733" s="342">
        <v>39282</v>
      </c>
      <c r="C733" t="s">
        <v>276</v>
      </c>
      <c r="D733">
        <v>252.43</v>
      </c>
      <c r="E733">
        <v>3899.52</v>
      </c>
      <c r="F733">
        <v>3500</v>
      </c>
      <c r="G733">
        <v>3647.08</v>
      </c>
      <c r="H733">
        <v>3647.08</v>
      </c>
      <c r="I733">
        <v>3500</v>
      </c>
      <c r="J733">
        <v>252.43</v>
      </c>
      <c r="K733">
        <v>3899.52</v>
      </c>
      <c r="L733">
        <v>3647.08</v>
      </c>
      <c r="M733">
        <v>3647.08</v>
      </c>
      <c r="N733">
        <v>0</v>
      </c>
    </row>
    <row r="734" spans="1:14" ht="12.75" x14ac:dyDescent="0.2">
      <c r="A734">
        <v>6952</v>
      </c>
      <c r="B734" s="342">
        <v>39283</v>
      </c>
      <c r="C734" t="s">
        <v>50</v>
      </c>
      <c r="D734">
        <v>0</v>
      </c>
      <c r="E734">
        <v>0</v>
      </c>
      <c r="F734">
        <v>0</v>
      </c>
      <c r="G734">
        <v>0</v>
      </c>
      <c r="H734">
        <v>0</v>
      </c>
      <c r="I734">
        <v>0</v>
      </c>
      <c r="J734">
        <v>0</v>
      </c>
      <c r="K734">
        <v>0</v>
      </c>
      <c r="L734">
        <v>0</v>
      </c>
      <c r="M734">
        <v>0</v>
      </c>
      <c r="N734">
        <v>0</v>
      </c>
    </row>
    <row r="735" spans="1:14" ht="12.75" x14ac:dyDescent="0.2">
      <c r="A735">
        <v>6952</v>
      </c>
      <c r="B735" s="342">
        <v>39284</v>
      </c>
      <c r="C735" t="s">
        <v>333</v>
      </c>
      <c r="D735">
        <v>859.24</v>
      </c>
      <c r="E735">
        <v>9158.2999999999993</v>
      </c>
      <c r="F735">
        <v>8500</v>
      </c>
      <c r="G735">
        <v>8276.09</v>
      </c>
      <c r="H735">
        <v>8276.09</v>
      </c>
      <c r="I735">
        <v>8500</v>
      </c>
      <c r="J735">
        <v>859.24</v>
      </c>
      <c r="K735">
        <v>9158.2999999999993</v>
      </c>
      <c r="L735">
        <v>8276.09</v>
      </c>
      <c r="M735">
        <v>8276.09</v>
      </c>
      <c r="N735">
        <v>0</v>
      </c>
    </row>
    <row r="736" spans="1:14" ht="12.75" x14ac:dyDescent="0.2">
      <c r="A736">
        <v>6952</v>
      </c>
      <c r="B736" s="342">
        <v>39285</v>
      </c>
      <c r="C736" t="s">
        <v>406</v>
      </c>
      <c r="D736">
        <v>0</v>
      </c>
      <c r="E736">
        <v>0</v>
      </c>
      <c r="F736">
        <v>0</v>
      </c>
      <c r="G736">
        <v>0</v>
      </c>
      <c r="H736">
        <v>0</v>
      </c>
      <c r="I736">
        <v>0</v>
      </c>
      <c r="J736">
        <v>0</v>
      </c>
      <c r="K736">
        <v>0</v>
      </c>
      <c r="L736">
        <v>0</v>
      </c>
      <c r="M736">
        <v>0</v>
      </c>
      <c r="N736">
        <v>0</v>
      </c>
    </row>
    <row r="737" spans="1:14" ht="12.75" x14ac:dyDescent="0.2">
      <c r="A737">
        <v>6952</v>
      </c>
      <c r="B737">
        <v>39299</v>
      </c>
      <c r="C737" t="s">
        <v>1369</v>
      </c>
      <c r="D737">
        <v>0</v>
      </c>
      <c r="E737">
        <v>0</v>
      </c>
      <c r="F737">
        <v>0</v>
      </c>
      <c r="G737">
        <v>0</v>
      </c>
      <c r="H737">
        <v>0</v>
      </c>
      <c r="I737">
        <v>0</v>
      </c>
      <c r="J737">
        <v>0</v>
      </c>
      <c r="K737">
        <v>0</v>
      </c>
      <c r="L737">
        <v>0</v>
      </c>
      <c r="M737">
        <v>0</v>
      </c>
      <c r="N737">
        <v>0</v>
      </c>
    </row>
    <row r="738" spans="1:14" ht="12.75" x14ac:dyDescent="0.2">
      <c r="A738">
        <v>6952</v>
      </c>
      <c r="B738" s="342">
        <v>39301</v>
      </c>
      <c r="C738" t="s">
        <v>1370</v>
      </c>
      <c r="D738">
        <v>113.7</v>
      </c>
      <c r="E738">
        <v>491.68</v>
      </c>
      <c r="F738">
        <v>1000</v>
      </c>
      <c r="G738">
        <v>619.54</v>
      </c>
      <c r="H738">
        <v>619.54</v>
      </c>
      <c r="I738">
        <v>1000</v>
      </c>
      <c r="J738">
        <v>113.7</v>
      </c>
      <c r="K738">
        <v>491.68</v>
      </c>
      <c r="L738">
        <v>619.54</v>
      </c>
      <c r="M738">
        <v>619.54</v>
      </c>
      <c r="N738">
        <v>0</v>
      </c>
    </row>
    <row r="739" spans="1:14" ht="12.75" x14ac:dyDescent="0.2">
      <c r="A739">
        <v>6952</v>
      </c>
      <c r="B739" s="342">
        <v>39302</v>
      </c>
      <c r="C739" t="s">
        <v>443</v>
      </c>
      <c r="D739">
        <v>0</v>
      </c>
      <c r="E739">
        <v>0</v>
      </c>
      <c r="F739">
        <v>0</v>
      </c>
      <c r="G739">
        <v>0</v>
      </c>
      <c r="H739">
        <v>0</v>
      </c>
      <c r="I739">
        <v>0</v>
      </c>
      <c r="J739">
        <v>0</v>
      </c>
      <c r="K739">
        <v>0</v>
      </c>
      <c r="L739">
        <v>0</v>
      </c>
      <c r="M739">
        <v>0</v>
      </c>
      <c r="N739">
        <v>0</v>
      </c>
    </row>
    <row r="740" spans="1:14" ht="12.75" x14ac:dyDescent="0.2">
      <c r="A740">
        <v>6952</v>
      </c>
      <c r="B740" s="342">
        <v>39305</v>
      </c>
      <c r="C740" t="s">
        <v>431</v>
      </c>
      <c r="D740">
        <v>0</v>
      </c>
      <c r="E740">
        <v>0</v>
      </c>
      <c r="F740">
        <v>0</v>
      </c>
      <c r="G740">
        <v>224.37</v>
      </c>
      <c r="H740">
        <v>224.37</v>
      </c>
      <c r="I740">
        <v>0</v>
      </c>
      <c r="J740">
        <v>0</v>
      </c>
      <c r="K740">
        <v>0</v>
      </c>
      <c r="L740">
        <v>224.37</v>
      </c>
      <c r="M740">
        <v>224.37</v>
      </c>
      <c r="N740">
        <v>0</v>
      </c>
    </row>
    <row r="741" spans="1:14" ht="12.75" x14ac:dyDescent="0.2">
      <c r="A741">
        <v>6952</v>
      </c>
      <c r="B741" s="342">
        <v>39306</v>
      </c>
      <c r="C741" t="s">
        <v>1371</v>
      </c>
      <c r="D741">
        <v>0</v>
      </c>
      <c r="E741">
        <v>310</v>
      </c>
      <c r="F741">
        <v>350</v>
      </c>
      <c r="G741">
        <v>0</v>
      </c>
      <c r="H741">
        <v>0</v>
      </c>
      <c r="I741">
        <v>350</v>
      </c>
      <c r="J741">
        <v>0</v>
      </c>
      <c r="K741">
        <v>310</v>
      </c>
      <c r="L741">
        <v>0</v>
      </c>
      <c r="M741">
        <v>0</v>
      </c>
      <c r="N741">
        <v>0</v>
      </c>
    </row>
    <row r="742" spans="1:14" ht="12.75" x14ac:dyDescent="0.2">
      <c r="A742">
        <v>6952</v>
      </c>
      <c r="B742" s="342">
        <v>39307</v>
      </c>
      <c r="C742" t="s">
        <v>1372</v>
      </c>
      <c r="D742">
        <v>391.92</v>
      </c>
      <c r="E742">
        <v>1865.63</v>
      </c>
      <c r="F742">
        <v>1400</v>
      </c>
      <c r="G742">
        <v>1515.64</v>
      </c>
      <c r="H742">
        <v>1515.64</v>
      </c>
      <c r="I742">
        <v>1400</v>
      </c>
      <c r="J742">
        <v>391.92</v>
      </c>
      <c r="K742">
        <v>1865.63</v>
      </c>
      <c r="L742">
        <v>1515.64</v>
      </c>
      <c r="M742">
        <v>1515.64</v>
      </c>
      <c r="N742">
        <v>0</v>
      </c>
    </row>
    <row r="743" spans="1:14" ht="12.75" x14ac:dyDescent="0.2">
      <c r="A743">
        <v>6952</v>
      </c>
      <c r="B743" s="342">
        <v>39308</v>
      </c>
      <c r="C743" t="s">
        <v>1373</v>
      </c>
      <c r="D743">
        <v>0</v>
      </c>
      <c r="E743">
        <v>1462.04</v>
      </c>
      <c r="F743">
        <v>2000</v>
      </c>
      <c r="G743">
        <v>1900.5</v>
      </c>
      <c r="H743">
        <v>1900.5</v>
      </c>
      <c r="I743">
        <v>2000</v>
      </c>
      <c r="J743">
        <v>0</v>
      </c>
      <c r="K743">
        <v>1462.04</v>
      </c>
      <c r="L743">
        <v>1900.5</v>
      </c>
      <c r="M743">
        <v>1900.5</v>
      </c>
      <c r="N743">
        <v>0</v>
      </c>
    </row>
    <row r="744" spans="1:14" ht="12.75" x14ac:dyDescent="0.2">
      <c r="A744">
        <v>6952</v>
      </c>
      <c r="B744" s="342">
        <v>39309</v>
      </c>
      <c r="C744" t="s">
        <v>1374</v>
      </c>
      <c r="D744">
        <v>667.8</v>
      </c>
      <c r="E744">
        <v>6333.52</v>
      </c>
      <c r="F744">
        <v>8000</v>
      </c>
      <c r="G744">
        <v>8738.6</v>
      </c>
      <c r="H744">
        <v>8738.6</v>
      </c>
      <c r="I744">
        <v>8000</v>
      </c>
      <c r="J744">
        <v>667.8</v>
      </c>
      <c r="K744">
        <v>7067.79</v>
      </c>
      <c r="L744">
        <v>8738.6</v>
      </c>
      <c r="M744">
        <v>8738.6</v>
      </c>
      <c r="N744">
        <v>0</v>
      </c>
    </row>
    <row r="745" spans="1:14" ht="12.75" x14ac:dyDescent="0.2">
      <c r="A745">
        <v>6952</v>
      </c>
      <c r="B745" s="342">
        <v>39311</v>
      </c>
      <c r="C745" t="s">
        <v>1375</v>
      </c>
      <c r="D745">
        <v>0</v>
      </c>
      <c r="E745">
        <v>378</v>
      </c>
      <c r="F745">
        <v>500</v>
      </c>
      <c r="G745">
        <v>397.77</v>
      </c>
      <c r="H745">
        <v>397.77</v>
      </c>
      <c r="I745">
        <v>500</v>
      </c>
      <c r="J745">
        <v>0</v>
      </c>
      <c r="K745">
        <v>378</v>
      </c>
      <c r="L745">
        <v>397.77</v>
      </c>
      <c r="M745">
        <v>397.77</v>
      </c>
      <c r="N745">
        <v>0</v>
      </c>
    </row>
    <row r="746" spans="1:14" ht="12.75" x14ac:dyDescent="0.2">
      <c r="A746">
        <v>6952</v>
      </c>
      <c r="B746" s="342">
        <v>39313</v>
      </c>
      <c r="C746" t="s">
        <v>1376</v>
      </c>
      <c r="D746">
        <v>0</v>
      </c>
      <c r="E746">
        <v>2796.3</v>
      </c>
      <c r="F746">
        <v>3000</v>
      </c>
      <c r="G746">
        <v>3492.85</v>
      </c>
      <c r="H746">
        <v>3492.85</v>
      </c>
      <c r="I746">
        <v>3000</v>
      </c>
      <c r="J746">
        <v>0</v>
      </c>
      <c r="K746">
        <v>2796.3</v>
      </c>
      <c r="L746">
        <v>3492.85</v>
      </c>
      <c r="M746">
        <v>3492.85</v>
      </c>
      <c r="N746">
        <v>0</v>
      </c>
    </row>
    <row r="747" spans="1:14" ht="12.75" x14ac:dyDescent="0.2">
      <c r="A747">
        <v>6952</v>
      </c>
      <c r="B747" s="342">
        <v>39314</v>
      </c>
      <c r="C747" t="s">
        <v>1377</v>
      </c>
      <c r="D747">
        <v>0</v>
      </c>
      <c r="E747">
        <v>707.6</v>
      </c>
      <c r="F747">
        <v>500</v>
      </c>
      <c r="G747">
        <v>511.17</v>
      </c>
      <c r="H747">
        <v>511.17</v>
      </c>
      <c r="I747">
        <v>500</v>
      </c>
      <c r="J747">
        <v>0</v>
      </c>
      <c r="K747">
        <v>707.6</v>
      </c>
      <c r="L747">
        <v>511.17</v>
      </c>
      <c r="M747">
        <v>511.17</v>
      </c>
      <c r="N747">
        <v>0</v>
      </c>
    </row>
    <row r="748" spans="1:14" ht="12.75" x14ac:dyDescent="0.2">
      <c r="A748">
        <v>6952</v>
      </c>
      <c r="B748" s="342">
        <v>39315</v>
      </c>
      <c r="C748" t="s">
        <v>1378</v>
      </c>
      <c r="D748">
        <v>0</v>
      </c>
      <c r="E748">
        <v>0</v>
      </c>
      <c r="F748">
        <v>200</v>
      </c>
      <c r="G748">
        <v>3.48</v>
      </c>
      <c r="H748">
        <v>3.48</v>
      </c>
      <c r="I748">
        <v>200</v>
      </c>
      <c r="J748">
        <v>0</v>
      </c>
      <c r="K748">
        <v>0</v>
      </c>
      <c r="L748">
        <v>3.48</v>
      </c>
      <c r="M748">
        <v>3.48</v>
      </c>
      <c r="N748">
        <v>0</v>
      </c>
    </row>
    <row r="749" spans="1:14" ht="12.75" x14ac:dyDescent="0.2">
      <c r="A749">
        <v>6952</v>
      </c>
      <c r="B749" s="342">
        <v>39330</v>
      </c>
      <c r="C749" t="s">
        <v>847</v>
      </c>
      <c r="D749">
        <v>9564.6</v>
      </c>
      <c r="E749">
        <v>56100.73</v>
      </c>
      <c r="F749">
        <v>53364</v>
      </c>
      <c r="G749">
        <v>47529.86</v>
      </c>
      <c r="H749">
        <v>47529.86</v>
      </c>
      <c r="I749">
        <v>53364</v>
      </c>
      <c r="J749">
        <v>9564.6</v>
      </c>
      <c r="K749">
        <v>56293</v>
      </c>
      <c r="L749">
        <v>47529.86</v>
      </c>
      <c r="M749">
        <v>47529.86</v>
      </c>
      <c r="N749">
        <v>0</v>
      </c>
    </row>
    <row r="750" spans="1:14" ht="12.75" x14ac:dyDescent="0.2">
      <c r="A750">
        <v>6952</v>
      </c>
      <c r="B750" s="342">
        <v>39331</v>
      </c>
      <c r="C750" t="s">
        <v>372</v>
      </c>
      <c r="D750">
        <v>0</v>
      </c>
      <c r="E750">
        <v>1552.22</v>
      </c>
      <c r="F750">
        <v>2000</v>
      </c>
      <c r="G750">
        <v>3882.13</v>
      </c>
      <c r="H750">
        <v>3882.13</v>
      </c>
      <c r="I750">
        <v>2000</v>
      </c>
      <c r="J750">
        <v>0</v>
      </c>
      <c r="K750">
        <v>2367.88</v>
      </c>
      <c r="L750">
        <v>3882.13</v>
      </c>
      <c r="M750">
        <v>3882.13</v>
      </c>
      <c r="N750">
        <v>0</v>
      </c>
    </row>
    <row r="751" spans="1:14" ht="12.75" x14ac:dyDescent="0.2">
      <c r="A751">
        <v>6952</v>
      </c>
      <c r="B751" s="342">
        <v>39332</v>
      </c>
      <c r="C751" t="s">
        <v>276</v>
      </c>
      <c r="D751">
        <v>501.47</v>
      </c>
      <c r="E751">
        <v>3456.17</v>
      </c>
      <c r="F751">
        <v>2000</v>
      </c>
      <c r="G751">
        <v>2380.34</v>
      </c>
      <c r="H751">
        <v>2380.34</v>
      </c>
      <c r="I751">
        <v>2000</v>
      </c>
      <c r="J751">
        <v>501.47</v>
      </c>
      <c r="K751">
        <v>3456.17</v>
      </c>
      <c r="L751">
        <v>2380.34</v>
      </c>
      <c r="M751">
        <v>2380.34</v>
      </c>
      <c r="N751">
        <v>0</v>
      </c>
    </row>
    <row r="752" spans="1:14" ht="12.75" x14ac:dyDescent="0.2">
      <c r="A752">
        <v>6952</v>
      </c>
      <c r="B752" s="342">
        <v>39333</v>
      </c>
      <c r="C752" t="s">
        <v>1007</v>
      </c>
      <c r="D752">
        <v>0</v>
      </c>
      <c r="E752">
        <v>0</v>
      </c>
      <c r="F752">
        <v>0</v>
      </c>
      <c r="G752">
        <v>0</v>
      </c>
      <c r="H752">
        <v>0</v>
      </c>
      <c r="I752">
        <v>0</v>
      </c>
      <c r="J752">
        <v>0</v>
      </c>
      <c r="K752">
        <v>0</v>
      </c>
      <c r="L752">
        <v>0</v>
      </c>
      <c r="M752">
        <v>0</v>
      </c>
      <c r="N752">
        <v>0</v>
      </c>
    </row>
    <row r="753" spans="1:14" ht="12.75" x14ac:dyDescent="0.2">
      <c r="A753">
        <v>6952</v>
      </c>
      <c r="B753" s="342">
        <v>39334</v>
      </c>
      <c r="C753" t="s">
        <v>333</v>
      </c>
      <c r="D753">
        <v>1316.38</v>
      </c>
      <c r="E753">
        <v>14146.24</v>
      </c>
      <c r="F753">
        <v>15000</v>
      </c>
      <c r="G753">
        <v>14353.49</v>
      </c>
      <c r="H753">
        <v>14353.49</v>
      </c>
      <c r="I753">
        <v>15000</v>
      </c>
      <c r="J753">
        <v>1316.38</v>
      </c>
      <c r="K753">
        <v>16146.24</v>
      </c>
      <c r="L753">
        <v>14353.49</v>
      </c>
      <c r="M753">
        <v>14353.49</v>
      </c>
      <c r="N753">
        <v>0</v>
      </c>
    </row>
    <row r="754" spans="1:14" ht="12.75" x14ac:dyDescent="0.2">
      <c r="A754">
        <v>6952</v>
      </c>
      <c r="B754" s="342">
        <v>39335</v>
      </c>
      <c r="C754" t="s">
        <v>406</v>
      </c>
      <c r="D754">
        <v>0</v>
      </c>
      <c r="E754">
        <v>0</v>
      </c>
      <c r="F754">
        <v>0</v>
      </c>
      <c r="G754">
        <v>0</v>
      </c>
      <c r="H754">
        <v>0</v>
      </c>
      <c r="I754">
        <v>0</v>
      </c>
      <c r="J754">
        <v>0</v>
      </c>
      <c r="K754">
        <v>0</v>
      </c>
      <c r="L754">
        <v>0</v>
      </c>
      <c r="M754">
        <v>0</v>
      </c>
      <c r="N754">
        <v>0</v>
      </c>
    </row>
    <row r="755" spans="1:14" ht="12.75" x14ac:dyDescent="0.2">
      <c r="A755">
        <v>6952</v>
      </c>
      <c r="B755" s="342">
        <v>39336</v>
      </c>
      <c r="C755" t="s">
        <v>848</v>
      </c>
      <c r="D755">
        <v>0</v>
      </c>
      <c r="E755">
        <v>0</v>
      </c>
      <c r="F755">
        <v>0</v>
      </c>
      <c r="G755">
        <v>0</v>
      </c>
      <c r="H755">
        <v>0</v>
      </c>
      <c r="I755">
        <v>0</v>
      </c>
      <c r="J755">
        <v>0</v>
      </c>
      <c r="K755">
        <v>0</v>
      </c>
      <c r="L755">
        <v>0</v>
      </c>
      <c r="M755">
        <v>0</v>
      </c>
      <c r="N755">
        <v>0</v>
      </c>
    </row>
    <row r="756" spans="1:14" ht="12.75" x14ac:dyDescent="0.2">
      <c r="A756">
        <v>6952</v>
      </c>
      <c r="B756" s="342">
        <v>39337</v>
      </c>
      <c r="C756" t="s">
        <v>1008</v>
      </c>
      <c r="D756">
        <v>0</v>
      </c>
      <c r="E756">
        <v>0</v>
      </c>
      <c r="F756">
        <v>0</v>
      </c>
      <c r="G756">
        <v>225</v>
      </c>
      <c r="H756">
        <v>225</v>
      </c>
      <c r="I756">
        <v>0</v>
      </c>
      <c r="J756">
        <v>0</v>
      </c>
      <c r="K756">
        <v>0</v>
      </c>
      <c r="L756">
        <v>225</v>
      </c>
      <c r="M756">
        <v>225</v>
      </c>
      <c r="N756">
        <v>0</v>
      </c>
    </row>
    <row r="757" spans="1:14" ht="12.75" x14ac:dyDescent="0.2">
      <c r="A757">
        <v>6952</v>
      </c>
      <c r="B757">
        <v>39349</v>
      </c>
      <c r="C757" t="s">
        <v>1379</v>
      </c>
      <c r="D757">
        <v>0</v>
      </c>
      <c r="E757">
        <v>0</v>
      </c>
      <c r="F757">
        <v>0</v>
      </c>
      <c r="G757">
        <v>0</v>
      </c>
      <c r="H757">
        <v>0</v>
      </c>
      <c r="I757">
        <v>0</v>
      </c>
      <c r="J757">
        <v>0</v>
      </c>
      <c r="K757">
        <v>0</v>
      </c>
      <c r="L757">
        <v>0</v>
      </c>
      <c r="M757">
        <v>0</v>
      </c>
      <c r="N757">
        <v>0</v>
      </c>
    </row>
    <row r="758" spans="1:14" ht="12.75" x14ac:dyDescent="0.2">
      <c r="A758">
        <v>6952</v>
      </c>
      <c r="B758" s="342">
        <v>39351</v>
      </c>
      <c r="C758" t="s">
        <v>1380</v>
      </c>
      <c r="D758">
        <v>50</v>
      </c>
      <c r="E758">
        <v>170.96</v>
      </c>
      <c r="F758">
        <v>350</v>
      </c>
      <c r="G758">
        <v>435.09</v>
      </c>
      <c r="H758">
        <v>435.09</v>
      </c>
      <c r="I758">
        <v>350</v>
      </c>
      <c r="J758">
        <v>50</v>
      </c>
      <c r="K758">
        <v>170.96</v>
      </c>
      <c r="L758">
        <v>435.09</v>
      </c>
      <c r="M758">
        <v>435.09</v>
      </c>
      <c r="N758">
        <v>0</v>
      </c>
    </row>
    <row r="759" spans="1:14" ht="12.75" x14ac:dyDescent="0.2">
      <c r="A759">
        <v>6952</v>
      </c>
      <c r="B759" s="342">
        <v>39352</v>
      </c>
      <c r="C759" t="s">
        <v>443</v>
      </c>
      <c r="D759">
        <v>0</v>
      </c>
      <c r="E759">
        <v>0</v>
      </c>
      <c r="F759">
        <v>0</v>
      </c>
      <c r="G759">
        <v>0</v>
      </c>
      <c r="H759">
        <v>0</v>
      </c>
      <c r="I759">
        <v>0</v>
      </c>
      <c r="J759">
        <v>0</v>
      </c>
      <c r="K759">
        <v>0</v>
      </c>
      <c r="L759">
        <v>0</v>
      </c>
      <c r="M759">
        <v>0</v>
      </c>
      <c r="N759">
        <v>0</v>
      </c>
    </row>
    <row r="760" spans="1:14" ht="12.75" x14ac:dyDescent="0.2">
      <c r="A760">
        <v>6952</v>
      </c>
      <c r="B760" s="342">
        <v>39353</v>
      </c>
      <c r="C760" t="s">
        <v>337</v>
      </c>
      <c r="D760">
        <v>0</v>
      </c>
      <c r="E760">
        <v>0</v>
      </c>
      <c r="F760">
        <v>0</v>
      </c>
      <c r="G760">
        <v>0</v>
      </c>
      <c r="H760">
        <v>0</v>
      </c>
      <c r="I760">
        <v>0</v>
      </c>
      <c r="J760">
        <v>0</v>
      </c>
      <c r="K760">
        <v>0</v>
      </c>
      <c r="L760">
        <v>0</v>
      </c>
      <c r="M760">
        <v>0</v>
      </c>
      <c r="N760">
        <v>0</v>
      </c>
    </row>
    <row r="761" spans="1:14" ht="12.75" x14ac:dyDescent="0.2">
      <c r="A761">
        <v>6952</v>
      </c>
      <c r="B761" s="342">
        <v>39354</v>
      </c>
      <c r="C761" t="s">
        <v>382</v>
      </c>
      <c r="D761">
        <v>0</v>
      </c>
      <c r="E761">
        <v>0</v>
      </c>
      <c r="F761">
        <v>0</v>
      </c>
      <c r="G761">
        <v>0</v>
      </c>
      <c r="H761">
        <v>0</v>
      </c>
      <c r="I761">
        <v>0</v>
      </c>
      <c r="J761">
        <v>0</v>
      </c>
      <c r="K761">
        <v>0</v>
      </c>
      <c r="L761">
        <v>0</v>
      </c>
      <c r="M761">
        <v>0</v>
      </c>
      <c r="N761">
        <v>0</v>
      </c>
    </row>
    <row r="762" spans="1:14" ht="12.75" x14ac:dyDescent="0.2">
      <c r="A762">
        <v>6952</v>
      </c>
      <c r="B762" s="342">
        <v>39355</v>
      </c>
      <c r="C762" t="s">
        <v>431</v>
      </c>
      <c r="D762">
        <v>0</v>
      </c>
      <c r="E762">
        <v>0</v>
      </c>
      <c r="F762">
        <v>0</v>
      </c>
      <c r="G762">
        <v>0</v>
      </c>
      <c r="H762">
        <v>0</v>
      </c>
      <c r="I762">
        <v>0</v>
      </c>
      <c r="J762">
        <v>0</v>
      </c>
      <c r="K762">
        <v>0</v>
      </c>
      <c r="L762">
        <v>0</v>
      </c>
      <c r="M762">
        <v>0</v>
      </c>
      <c r="N762">
        <v>0</v>
      </c>
    </row>
    <row r="763" spans="1:14" ht="12.75" x14ac:dyDescent="0.2">
      <c r="A763">
        <v>6952</v>
      </c>
      <c r="B763" s="342">
        <v>39356</v>
      </c>
      <c r="C763" t="s">
        <v>1381</v>
      </c>
      <c r="D763">
        <v>73.7</v>
      </c>
      <c r="E763">
        <v>147.59</v>
      </c>
      <c r="F763">
        <v>350</v>
      </c>
      <c r="G763">
        <v>283.69</v>
      </c>
      <c r="H763">
        <v>283.69</v>
      </c>
      <c r="I763">
        <v>350</v>
      </c>
      <c r="J763">
        <v>73.7</v>
      </c>
      <c r="K763">
        <v>147.59</v>
      </c>
      <c r="L763">
        <v>283.69</v>
      </c>
      <c r="M763">
        <v>283.69</v>
      </c>
      <c r="N763">
        <v>0</v>
      </c>
    </row>
    <row r="764" spans="1:14" ht="12.75" x14ac:dyDescent="0.2">
      <c r="A764">
        <v>6952</v>
      </c>
      <c r="B764" s="342">
        <v>39357</v>
      </c>
      <c r="C764" t="s">
        <v>1382</v>
      </c>
      <c r="D764">
        <v>149.94999999999999</v>
      </c>
      <c r="E764">
        <v>827.42</v>
      </c>
      <c r="F764">
        <v>1000</v>
      </c>
      <c r="G764">
        <v>780.25</v>
      </c>
      <c r="H764">
        <v>780.25</v>
      </c>
      <c r="I764">
        <v>1000</v>
      </c>
      <c r="J764">
        <v>149.94999999999999</v>
      </c>
      <c r="K764">
        <v>827.42</v>
      </c>
      <c r="L764">
        <v>780.25</v>
      </c>
      <c r="M764">
        <v>780.25</v>
      </c>
      <c r="N764">
        <v>0</v>
      </c>
    </row>
    <row r="765" spans="1:14" ht="12.75" x14ac:dyDescent="0.2">
      <c r="A765">
        <v>6952</v>
      </c>
      <c r="B765" s="342">
        <v>39358</v>
      </c>
      <c r="C765" t="s">
        <v>1383</v>
      </c>
      <c r="D765">
        <v>262.8</v>
      </c>
      <c r="E765">
        <v>749.81</v>
      </c>
      <c r="F765">
        <v>750</v>
      </c>
      <c r="G765">
        <v>879.03</v>
      </c>
      <c r="H765">
        <v>879.03</v>
      </c>
      <c r="I765">
        <v>750</v>
      </c>
      <c r="J765">
        <v>262.8</v>
      </c>
      <c r="K765">
        <v>749.81</v>
      </c>
      <c r="L765">
        <v>879.03</v>
      </c>
      <c r="M765">
        <v>879.03</v>
      </c>
      <c r="N765">
        <v>0</v>
      </c>
    </row>
    <row r="766" spans="1:14" ht="12.75" x14ac:dyDescent="0.2">
      <c r="A766">
        <v>6952</v>
      </c>
      <c r="B766" s="342">
        <v>39359</v>
      </c>
      <c r="C766" t="s">
        <v>1384</v>
      </c>
      <c r="D766">
        <v>535.66999999999996</v>
      </c>
      <c r="E766">
        <v>3565.32</v>
      </c>
      <c r="F766">
        <v>3500</v>
      </c>
      <c r="G766">
        <v>3176.35</v>
      </c>
      <c r="H766">
        <v>3176.35</v>
      </c>
      <c r="I766">
        <v>3500</v>
      </c>
      <c r="J766">
        <v>535.66999999999996</v>
      </c>
      <c r="K766">
        <v>3565.32</v>
      </c>
      <c r="L766">
        <v>3872</v>
      </c>
      <c r="M766">
        <v>3872</v>
      </c>
      <c r="N766">
        <v>0</v>
      </c>
    </row>
    <row r="767" spans="1:14" ht="12.75" x14ac:dyDescent="0.2">
      <c r="A767">
        <v>6952</v>
      </c>
      <c r="B767" s="342">
        <v>39360</v>
      </c>
      <c r="C767" t="s">
        <v>1385</v>
      </c>
      <c r="D767">
        <v>0</v>
      </c>
      <c r="E767">
        <v>0</v>
      </c>
      <c r="F767">
        <v>0</v>
      </c>
      <c r="G767">
        <v>85.97</v>
      </c>
      <c r="H767">
        <v>85.97</v>
      </c>
      <c r="I767">
        <v>0</v>
      </c>
      <c r="J767">
        <v>0</v>
      </c>
      <c r="K767">
        <v>0</v>
      </c>
      <c r="L767">
        <v>85.97</v>
      </c>
      <c r="M767">
        <v>85.97</v>
      </c>
      <c r="N767">
        <v>0</v>
      </c>
    </row>
    <row r="768" spans="1:14" ht="12.75" x14ac:dyDescent="0.2">
      <c r="A768">
        <v>6952</v>
      </c>
      <c r="B768" s="342">
        <v>39361</v>
      </c>
      <c r="C768" t="s">
        <v>1386</v>
      </c>
      <c r="D768">
        <v>0</v>
      </c>
      <c r="E768">
        <v>0</v>
      </c>
      <c r="F768">
        <v>0</v>
      </c>
      <c r="G768">
        <v>0</v>
      </c>
      <c r="H768">
        <v>0</v>
      </c>
      <c r="I768">
        <v>0</v>
      </c>
      <c r="J768">
        <v>0</v>
      </c>
      <c r="K768">
        <v>0</v>
      </c>
      <c r="L768">
        <v>0</v>
      </c>
      <c r="M768">
        <v>0</v>
      </c>
      <c r="N768">
        <v>0</v>
      </c>
    </row>
    <row r="769" spans="1:14" ht="12.75" x14ac:dyDescent="0.2">
      <c r="A769">
        <v>6952</v>
      </c>
      <c r="B769" s="342">
        <v>39363</v>
      </c>
      <c r="C769" t="s">
        <v>1387</v>
      </c>
      <c r="D769">
        <v>603.86</v>
      </c>
      <c r="E769">
        <v>1932.38</v>
      </c>
      <c r="F769">
        <v>2000</v>
      </c>
      <c r="G769">
        <v>1570.42</v>
      </c>
      <c r="H769">
        <v>1570.42</v>
      </c>
      <c r="I769">
        <v>2000</v>
      </c>
      <c r="J769">
        <v>603.86</v>
      </c>
      <c r="K769">
        <v>1932.38</v>
      </c>
      <c r="L769">
        <v>1570.42</v>
      </c>
      <c r="M769">
        <v>1570.42</v>
      </c>
      <c r="N769">
        <v>0</v>
      </c>
    </row>
    <row r="770" spans="1:14" ht="12.75" x14ac:dyDescent="0.2">
      <c r="A770">
        <v>6952</v>
      </c>
      <c r="B770" s="342">
        <v>39365</v>
      </c>
      <c r="C770" t="s">
        <v>1388</v>
      </c>
      <c r="D770">
        <v>0</v>
      </c>
      <c r="E770">
        <v>203.65</v>
      </c>
      <c r="F770">
        <v>200</v>
      </c>
      <c r="G770">
        <v>100.87</v>
      </c>
      <c r="H770">
        <v>100.87</v>
      </c>
      <c r="I770">
        <v>200</v>
      </c>
      <c r="J770">
        <v>0</v>
      </c>
      <c r="K770">
        <v>203.65</v>
      </c>
      <c r="L770">
        <v>100.87</v>
      </c>
      <c r="M770">
        <v>100.87</v>
      </c>
      <c r="N770">
        <v>0</v>
      </c>
    </row>
    <row r="771" spans="1:14" ht="12.75" x14ac:dyDescent="0.2">
      <c r="A771">
        <v>6952</v>
      </c>
      <c r="B771" s="342">
        <v>39380</v>
      </c>
      <c r="C771" t="s">
        <v>849</v>
      </c>
      <c r="D771">
        <v>8341.75</v>
      </c>
      <c r="E771">
        <v>52846.55</v>
      </c>
      <c r="F771">
        <v>49568</v>
      </c>
      <c r="G771">
        <v>50055.05</v>
      </c>
      <c r="H771">
        <v>50055.05</v>
      </c>
      <c r="I771">
        <v>49568</v>
      </c>
      <c r="J771">
        <v>8341.75</v>
      </c>
      <c r="K771">
        <v>52846.55</v>
      </c>
      <c r="L771">
        <v>50055.05</v>
      </c>
      <c r="M771">
        <v>50055.05</v>
      </c>
      <c r="N771">
        <v>0</v>
      </c>
    </row>
    <row r="772" spans="1:14" ht="12.75" x14ac:dyDescent="0.2">
      <c r="A772">
        <v>6952</v>
      </c>
      <c r="B772" s="342">
        <v>39381</v>
      </c>
      <c r="C772" t="s">
        <v>372</v>
      </c>
      <c r="D772">
        <v>13.04</v>
      </c>
      <c r="E772">
        <v>1769.41</v>
      </c>
      <c r="F772">
        <v>1500</v>
      </c>
      <c r="G772">
        <v>1782</v>
      </c>
      <c r="H772">
        <v>1782</v>
      </c>
      <c r="I772">
        <v>1500</v>
      </c>
      <c r="J772">
        <v>13.04</v>
      </c>
      <c r="K772">
        <v>1769.41</v>
      </c>
      <c r="L772">
        <v>1782</v>
      </c>
      <c r="M772">
        <v>1782</v>
      </c>
      <c r="N772">
        <v>0</v>
      </c>
    </row>
    <row r="773" spans="1:14" ht="12.75" x14ac:dyDescent="0.2">
      <c r="A773">
        <v>6952</v>
      </c>
      <c r="B773" s="342">
        <v>39382</v>
      </c>
      <c r="C773" t="s">
        <v>276</v>
      </c>
      <c r="D773">
        <v>259.45</v>
      </c>
      <c r="E773">
        <v>2126.1799999999998</v>
      </c>
      <c r="F773">
        <v>1200</v>
      </c>
      <c r="G773">
        <v>918.62</v>
      </c>
      <c r="H773">
        <v>918.62</v>
      </c>
      <c r="I773">
        <v>1200</v>
      </c>
      <c r="J773">
        <v>259.45</v>
      </c>
      <c r="K773">
        <v>2126.1799999999998</v>
      </c>
      <c r="L773">
        <v>918.62</v>
      </c>
      <c r="M773">
        <v>918.62</v>
      </c>
      <c r="N773">
        <v>0</v>
      </c>
    </row>
    <row r="774" spans="1:14" ht="12.75" x14ac:dyDescent="0.2">
      <c r="A774">
        <v>6952</v>
      </c>
      <c r="B774">
        <v>39383</v>
      </c>
      <c r="C774" t="s">
        <v>50</v>
      </c>
      <c r="D774">
        <v>0</v>
      </c>
      <c r="E774">
        <v>0</v>
      </c>
      <c r="F774">
        <v>0</v>
      </c>
      <c r="G774">
        <v>0</v>
      </c>
      <c r="H774">
        <v>0</v>
      </c>
      <c r="I774">
        <v>0</v>
      </c>
      <c r="J774">
        <v>0</v>
      </c>
      <c r="K774">
        <v>0</v>
      </c>
      <c r="L774">
        <v>0</v>
      </c>
      <c r="M774">
        <v>0</v>
      </c>
      <c r="N774">
        <v>0</v>
      </c>
    </row>
    <row r="775" spans="1:14" ht="12.75" x14ac:dyDescent="0.2">
      <c r="A775">
        <v>6952</v>
      </c>
      <c r="B775" s="342">
        <v>39384</v>
      </c>
      <c r="C775" t="s">
        <v>333</v>
      </c>
      <c r="D775">
        <v>176.46</v>
      </c>
      <c r="E775">
        <v>2159.7199999999998</v>
      </c>
      <c r="F775">
        <v>2800</v>
      </c>
      <c r="G775">
        <v>2371.33</v>
      </c>
      <c r="H775">
        <v>2371.33</v>
      </c>
      <c r="I775">
        <v>2800</v>
      </c>
      <c r="J775">
        <v>176.46</v>
      </c>
      <c r="K775">
        <v>2159.7199999999998</v>
      </c>
      <c r="L775">
        <v>2371.33</v>
      </c>
      <c r="M775">
        <v>2371.33</v>
      </c>
      <c r="N775">
        <v>0</v>
      </c>
    </row>
    <row r="776" spans="1:14" ht="12.75" x14ac:dyDescent="0.2">
      <c r="A776">
        <v>6952</v>
      </c>
      <c r="B776" s="342">
        <v>39385</v>
      </c>
      <c r="C776" t="s">
        <v>406</v>
      </c>
      <c r="D776">
        <v>0</v>
      </c>
      <c r="E776">
        <v>0</v>
      </c>
      <c r="F776">
        <v>0</v>
      </c>
      <c r="G776">
        <v>0</v>
      </c>
      <c r="H776">
        <v>0</v>
      </c>
      <c r="I776">
        <v>0</v>
      </c>
      <c r="J776">
        <v>0</v>
      </c>
      <c r="K776">
        <v>0</v>
      </c>
      <c r="L776">
        <v>0</v>
      </c>
      <c r="M776">
        <v>0</v>
      </c>
      <c r="N776">
        <v>0</v>
      </c>
    </row>
    <row r="777" spans="1:14" ht="12.75" x14ac:dyDescent="0.2">
      <c r="A777">
        <v>6952</v>
      </c>
      <c r="B777" s="342">
        <v>39386</v>
      </c>
      <c r="C777" t="s">
        <v>677</v>
      </c>
      <c r="D777">
        <v>0</v>
      </c>
      <c r="E777">
        <v>0</v>
      </c>
      <c r="F777">
        <v>0</v>
      </c>
      <c r="G777">
        <v>0</v>
      </c>
      <c r="H777">
        <v>0</v>
      </c>
      <c r="I777">
        <v>0</v>
      </c>
      <c r="J777">
        <v>0</v>
      </c>
      <c r="K777">
        <v>0</v>
      </c>
      <c r="L777">
        <v>0</v>
      </c>
      <c r="M777">
        <v>0</v>
      </c>
      <c r="N777">
        <v>0</v>
      </c>
    </row>
    <row r="778" spans="1:14" ht="12.75" x14ac:dyDescent="0.2">
      <c r="A778">
        <v>6952</v>
      </c>
      <c r="B778">
        <v>39399</v>
      </c>
      <c r="C778" t="s">
        <v>1389</v>
      </c>
      <c r="D778">
        <v>0</v>
      </c>
      <c r="E778">
        <v>0</v>
      </c>
      <c r="F778">
        <v>0</v>
      </c>
      <c r="G778">
        <v>0</v>
      </c>
      <c r="H778">
        <v>0</v>
      </c>
      <c r="I778">
        <v>0</v>
      </c>
      <c r="J778">
        <v>0</v>
      </c>
      <c r="K778">
        <v>0</v>
      </c>
      <c r="L778">
        <v>0</v>
      </c>
      <c r="M778">
        <v>0</v>
      </c>
      <c r="N778">
        <v>0</v>
      </c>
    </row>
    <row r="779" spans="1:14" ht="12.75" x14ac:dyDescent="0.2">
      <c r="A779">
        <v>6952</v>
      </c>
      <c r="B779" s="342">
        <v>39400</v>
      </c>
      <c r="C779" t="s">
        <v>1390</v>
      </c>
      <c r="D779">
        <v>173.91</v>
      </c>
      <c r="E779">
        <v>225.78</v>
      </c>
      <c r="F779">
        <v>250</v>
      </c>
      <c r="G779">
        <v>266.7</v>
      </c>
      <c r="H779">
        <v>266.7</v>
      </c>
      <c r="I779">
        <v>250</v>
      </c>
      <c r="J779">
        <v>173.91</v>
      </c>
      <c r="K779">
        <v>225.78</v>
      </c>
      <c r="L779">
        <v>266.7</v>
      </c>
      <c r="M779">
        <v>266.7</v>
      </c>
      <c r="N779">
        <v>0</v>
      </c>
    </row>
    <row r="780" spans="1:14" ht="12.75" x14ac:dyDescent="0.2">
      <c r="A780">
        <v>6952</v>
      </c>
      <c r="B780" s="342">
        <v>39405</v>
      </c>
      <c r="C780" t="s">
        <v>1391</v>
      </c>
      <c r="D780">
        <v>0</v>
      </c>
      <c r="E780">
        <v>0</v>
      </c>
      <c r="F780">
        <v>0</v>
      </c>
      <c r="G780">
        <v>0</v>
      </c>
      <c r="H780">
        <v>0</v>
      </c>
      <c r="I780">
        <v>0</v>
      </c>
      <c r="J780">
        <v>0</v>
      </c>
      <c r="K780">
        <v>0</v>
      </c>
      <c r="L780">
        <v>0</v>
      </c>
      <c r="M780">
        <v>0</v>
      </c>
      <c r="N780">
        <v>0</v>
      </c>
    </row>
    <row r="781" spans="1:14" ht="12.75" x14ac:dyDescent="0.2">
      <c r="A781">
        <v>6952</v>
      </c>
      <c r="B781" s="342">
        <v>39410</v>
      </c>
      <c r="C781" t="s">
        <v>1392</v>
      </c>
      <c r="D781">
        <v>0</v>
      </c>
      <c r="E781">
        <v>0</v>
      </c>
      <c r="F781">
        <v>0</v>
      </c>
      <c r="G781">
        <v>0</v>
      </c>
      <c r="H781">
        <v>0</v>
      </c>
      <c r="I781">
        <v>0</v>
      </c>
      <c r="J781">
        <v>0</v>
      </c>
      <c r="K781">
        <v>0</v>
      </c>
      <c r="L781">
        <v>0</v>
      </c>
      <c r="M781">
        <v>0</v>
      </c>
      <c r="N781">
        <v>0</v>
      </c>
    </row>
    <row r="782" spans="1:14" ht="12.75" x14ac:dyDescent="0.2">
      <c r="A782">
        <v>6952</v>
      </c>
      <c r="B782" s="342">
        <v>39415</v>
      </c>
      <c r="C782" t="s">
        <v>1393</v>
      </c>
      <c r="D782">
        <v>0</v>
      </c>
      <c r="E782">
        <v>0</v>
      </c>
      <c r="F782">
        <v>0</v>
      </c>
      <c r="G782">
        <v>347.35</v>
      </c>
      <c r="H782">
        <v>347.35</v>
      </c>
      <c r="I782">
        <v>0</v>
      </c>
      <c r="J782">
        <v>0</v>
      </c>
      <c r="K782">
        <v>0</v>
      </c>
      <c r="L782">
        <v>347.35</v>
      </c>
      <c r="M782">
        <v>347.35</v>
      </c>
      <c r="N782">
        <v>0</v>
      </c>
    </row>
    <row r="783" spans="1:14" ht="12.75" x14ac:dyDescent="0.2">
      <c r="A783">
        <v>6952</v>
      </c>
      <c r="B783" s="342">
        <v>39420</v>
      </c>
      <c r="C783" t="s">
        <v>674</v>
      </c>
      <c r="D783">
        <v>0</v>
      </c>
      <c r="E783">
        <v>0</v>
      </c>
      <c r="F783">
        <v>0</v>
      </c>
      <c r="G783">
        <v>0</v>
      </c>
      <c r="H783">
        <v>0</v>
      </c>
      <c r="I783">
        <v>0</v>
      </c>
      <c r="J783">
        <v>0</v>
      </c>
      <c r="K783">
        <v>0</v>
      </c>
      <c r="L783">
        <v>0</v>
      </c>
      <c r="M783">
        <v>0</v>
      </c>
      <c r="N783">
        <v>0</v>
      </c>
    </row>
    <row r="784" spans="1:14" ht="12.75" x14ac:dyDescent="0.2">
      <c r="A784">
        <v>6952</v>
      </c>
      <c r="B784" s="342">
        <v>39425</v>
      </c>
      <c r="C784" t="s">
        <v>1394</v>
      </c>
      <c r="D784">
        <v>0</v>
      </c>
      <c r="E784">
        <v>0</v>
      </c>
      <c r="F784">
        <v>350</v>
      </c>
      <c r="G784">
        <v>136.37</v>
      </c>
      <c r="H784">
        <v>136.37</v>
      </c>
      <c r="I784">
        <v>350</v>
      </c>
      <c r="J784">
        <v>0</v>
      </c>
      <c r="K784">
        <v>0</v>
      </c>
      <c r="L784">
        <v>136.37</v>
      </c>
      <c r="M784">
        <v>136.37</v>
      </c>
      <c r="N784">
        <v>0</v>
      </c>
    </row>
    <row r="785" spans="1:14" ht="12.75" x14ac:dyDescent="0.2">
      <c r="A785">
        <v>6952</v>
      </c>
      <c r="B785" s="342">
        <v>39430</v>
      </c>
      <c r="C785" t="s">
        <v>1395</v>
      </c>
      <c r="D785">
        <v>65.63</v>
      </c>
      <c r="E785">
        <v>320.25</v>
      </c>
      <c r="F785">
        <v>500</v>
      </c>
      <c r="G785">
        <v>488.86</v>
      </c>
      <c r="H785">
        <v>488.86</v>
      </c>
      <c r="I785">
        <v>500</v>
      </c>
      <c r="J785">
        <v>65.63</v>
      </c>
      <c r="K785">
        <v>320.25</v>
      </c>
      <c r="L785">
        <v>488.86</v>
      </c>
      <c r="M785">
        <v>488.86</v>
      </c>
      <c r="N785">
        <v>0</v>
      </c>
    </row>
    <row r="786" spans="1:14" ht="12.75" x14ac:dyDescent="0.2">
      <c r="A786">
        <v>6952</v>
      </c>
      <c r="B786" s="342">
        <v>39435</v>
      </c>
      <c r="C786" t="s">
        <v>1396</v>
      </c>
      <c r="D786">
        <v>211.43</v>
      </c>
      <c r="E786">
        <v>1472.36</v>
      </c>
      <c r="F786">
        <v>1500</v>
      </c>
      <c r="G786">
        <v>1141.24</v>
      </c>
      <c r="H786">
        <v>1141.24</v>
      </c>
      <c r="I786">
        <v>1500</v>
      </c>
      <c r="J786">
        <v>211.43</v>
      </c>
      <c r="K786">
        <v>1472.36</v>
      </c>
      <c r="L786">
        <v>1141.24</v>
      </c>
      <c r="M786">
        <v>1141.24</v>
      </c>
      <c r="N786">
        <v>0</v>
      </c>
    </row>
    <row r="787" spans="1:14" ht="12.75" x14ac:dyDescent="0.2">
      <c r="A787">
        <v>6952</v>
      </c>
      <c r="B787" s="342">
        <v>39440</v>
      </c>
      <c r="C787" t="s">
        <v>1397</v>
      </c>
      <c r="D787">
        <v>0</v>
      </c>
      <c r="E787">
        <v>0</v>
      </c>
      <c r="F787">
        <v>0</v>
      </c>
      <c r="G787">
        <v>0</v>
      </c>
      <c r="H787">
        <v>0</v>
      </c>
      <c r="I787">
        <v>0</v>
      </c>
      <c r="J787">
        <v>0</v>
      </c>
      <c r="K787">
        <v>0</v>
      </c>
      <c r="L787">
        <v>0</v>
      </c>
      <c r="M787">
        <v>0</v>
      </c>
      <c r="N787">
        <v>0</v>
      </c>
    </row>
    <row r="788" spans="1:14" ht="12.75" x14ac:dyDescent="0.2">
      <c r="A788">
        <v>6952</v>
      </c>
      <c r="B788" s="342">
        <v>39450</v>
      </c>
      <c r="C788" t="s">
        <v>1398</v>
      </c>
      <c r="D788">
        <v>0</v>
      </c>
      <c r="E788">
        <v>0</v>
      </c>
      <c r="F788">
        <v>0</v>
      </c>
      <c r="G788">
        <v>52.17</v>
      </c>
      <c r="H788">
        <v>52.17</v>
      </c>
      <c r="I788">
        <v>0</v>
      </c>
      <c r="J788">
        <v>0</v>
      </c>
      <c r="K788">
        <v>0</v>
      </c>
      <c r="L788">
        <v>52.17</v>
      </c>
      <c r="M788">
        <v>52.17</v>
      </c>
      <c r="N788">
        <v>0</v>
      </c>
    </row>
    <row r="789" spans="1:14" ht="12.75" x14ac:dyDescent="0.2">
      <c r="A789">
        <v>6952</v>
      </c>
      <c r="B789" s="342">
        <v>39460</v>
      </c>
      <c r="C789" t="s">
        <v>1399</v>
      </c>
      <c r="D789">
        <v>9.2899999999999991</v>
      </c>
      <c r="E789">
        <v>45.36</v>
      </c>
      <c r="F789">
        <v>500</v>
      </c>
      <c r="G789">
        <v>677.76</v>
      </c>
      <c r="H789">
        <v>677.76</v>
      </c>
      <c r="I789">
        <v>500</v>
      </c>
      <c r="J789">
        <v>9.2899999999999991</v>
      </c>
      <c r="K789">
        <v>45.36</v>
      </c>
      <c r="L789">
        <v>677.76</v>
      </c>
      <c r="M789">
        <v>677.76</v>
      </c>
      <c r="N789">
        <v>0</v>
      </c>
    </row>
    <row r="790" spans="1:14" ht="12.75" x14ac:dyDescent="0.2">
      <c r="A790">
        <v>6952</v>
      </c>
      <c r="B790" s="342">
        <v>39465</v>
      </c>
      <c r="C790" t="s">
        <v>1400</v>
      </c>
      <c r="D790">
        <v>383.46</v>
      </c>
      <c r="E790">
        <v>1933.61</v>
      </c>
      <c r="F790">
        <v>1500</v>
      </c>
      <c r="G790">
        <v>1510.92</v>
      </c>
      <c r="H790">
        <v>1510.92</v>
      </c>
      <c r="I790">
        <v>1500</v>
      </c>
      <c r="J790">
        <v>383.46</v>
      </c>
      <c r="K790">
        <v>1933.61</v>
      </c>
      <c r="L790">
        <v>1510.92</v>
      </c>
      <c r="M790">
        <v>1510.92</v>
      </c>
      <c r="N790">
        <v>0</v>
      </c>
    </row>
    <row r="791" spans="1:14" ht="12.75" x14ac:dyDescent="0.2">
      <c r="A791">
        <v>6952</v>
      </c>
      <c r="B791" s="342">
        <v>39470</v>
      </c>
      <c r="C791" t="s">
        <v>1401</v>
      </c>
      <c r="D791">
        <v>13.04</v>
      </c>
      <c r="E791">
        <v>62.17</v>
      </c>
      <c r="F791">
        <v>200</v>
      </c>
      <c r="G791">
        <v>33.83</v>
      </c>
      <c r="H791">
        <v>33.83</v>
      </c>
      <c r="I791">
        <v>200</v>
      </c>
      <c r="J791">
        <v>13.04</v>
      </c>
      <c r="K791">
        <v>62.17</v>
      </c>
      <c r="L791">
        <v>33.83</v>
      </c>
      <c r="M791">
        <v>33.83</v>
      </c>
      <c r="N791">
        <v>0</v>
      </c>
    </row>
    <row r="792" spans="1:14" ht="12.75" x14ac:dyDescent="0.2">
      <c r="A792">
        <v>6952</v>
      </c>
      <c r="B792" s="342">
        <v>39500</v>
      </c>
      <c r="C792" t="s">
        <v>329</v>
      </c>
      <c r="D792">
        <v>7942.81</v>
      </c>
      <c r="E792">
        <v>50203.54</v>
      </c>
      <c r="F792">
        <v>39620</v>
      </c>
      <c r="G792">
        <v>46771.26</v>
      </c>
      <c r="H792">
        <v>46771.26</v>
      </c>
      <c r="I792">
        <v>39620</v>
      </c>
      <c r="J792">
        <v>7942.81</v>
      </c>
      <c r="K792">
        <v>50203.54</v>
      </c>
      <c r="L792">
        <v>46771.26</v>
      </c>
      <c r="M792">
        <v>46771.26</v>
      </c>
      <c r="N792">
        <v>0</v>
      </c>
    </row>
    <row r="793" spans="1:14" ht="12.75" x14ac:dyDescent="0.2">
      <c r="A793">
        <v>6952</v>
      </c>
      <c r="B793" s="342">
        <v>39505</v>
      </c>
      <c r="C793" t="s">
        <v>372</v>
      </c>
      <c r="D793">
        <v>326.08999999999997</v>
      </c>
      <c r="E793">
        <v>384.75</v>
      </c>
      <c r="F793">
        <v>700</v>
      </c>
      <c r="G793">
        <v>46.78</v>
      </c>
      <c r="H793">
        <v>46.78</v>
      </c>
      <c r="I793">
        <v>700</v>
      </c>
      <c r="J793">
        <v>326.08999999999997</v>
      </c>
      <c r="K793">
        <v>384.75</v>
      </c>
      <c r="L793">
        <v>46.78</v>
      </c>
      <c r="M793">
        <v>46.78</v>
      </c>
      <c r="N793">
        <v>0</v>
      </c>
    </row>
    <row r="794" spans="1:14" ht="12.75" x14ac:dyDescent="0.2">
      <c r="A794">
        <v>6952</v>
      </c>
      <c r="B794" s="342">
        <v>39510</v>
      </c>
      <c r="C794" t="s">
        <v>276</v>
      </c>
      <c r="D794">
        <v>85.36</v>
      </c>
      <c r="E794">
        <v>5001.58</v>
      </c>
      <c r="F794">
        <v>2500</v>
      </c>
      <c r="G794">
        <v>1655.85</v>
      </c>
      <c r="H794">
        <v>1655.85</v>
      </c>
      <c r="I794">
        <v>2500</v>
      </c>
      <c r="J794">
        <v>85.36</v>
      </c>
      <c r="K794">
        <v>5958.1</v>
      </c>
      <c r="L794">
        <v>1655.85</v>
      </c>
      <c r="M794">
        <v>1655.85</v>
      </c>
      <c r="N794">
        <v>0</v>
      </c>
    </row>
    <row r="795" spans="1:14" ht="12.75" x14ac:dyDescent="0.2">
      <c r="A795">
        <v>6952</v>
      </c>
      <c r="B795">
        <v>39515</v>
      </c>
      <c r="C795" t="s">
        <v>50</v>
      </c>
      <c r="D795">
        <v>0</v>
      </c>
      <c r="E795">
        <v>0</v>
      </c>
      <c r="F795">
        <v>0</v>
      </c>
      <c r="G795">
        <v>0</v>
      </c>
      <c r="H795">
        <v>0</v>
      </c>
      <c r="I795">
        <v>0</v>
      </c>
      <c r="J795">
        <v>0</v>
      </c>
      <c r="K795">
        <v>0</v>
      </c>
      <c r="L795">
        <v>0</v>
      </c>
      <c r="M795">
        <v>0</v>
      </c>
      <c r="N795">
        <v>0</v>
      </c>
    </row>
    <row r="796" spans="1:14" ht="12.75" x14ac:dyDescent="0.2">
      <c r="A796">
        <v>6952</v>
      </c>
      <c r="B796" s="342">
        <v>39520</v>
      </c>
      <c r="C796" t="s">
        <v>333</v>
      </c>
      <c r="D796">
        <v>189.17</v>
      </c>
      <c r="E796">
        <v>2989.16</v>
      </c>
      <c r="F796">
        <v>4500</v>
      </c>
      <c r="G796">
        <v>3464.08</v>
      </c>
      <c r="H796">
        <v>3464.08</v>
      </c>
      <c r="I796">
        <v>4500</v>
      </c>
      <c r="J796">
        <v>189.17</v>
      </c>
      <c r="K796">
        <v>2989.16</v>
      </c>
      <c r="L796">
        <v>3464.08</v>
      </c>
      <c r="M796">
        <v>3464.08</v>
      </c>
      <c r="N796">
        <v>0</v>
      </c>
    </row>
    <row r="797" spans="1:14" ht="12.75" x14ac:dyDescent="0.2">
      <c r="A797">
        <v>6952</v>
      </c>
      <c r="B797" s="342">
        <v>39525</v>
      </c>
      <c r="C797" t="s">
        <v>406</v>
      </c>
      <c r="D797">
        <v>0</v>
      </c>
      <c r="E797">
        <v>0</v>
      </c>
      <c r="F797">
        <v>0</v>
      </c>
      <c r="G797">
        <v>0</v>
      </c>
      <c r="H797">
        <v>0</v>
      </c>
      <c r="I797">
        <v>0</v>
      </c>
      <c r="J797">
        <v>0</v>
      </c>
      <c r="K797">
        <v>0</v>
      </c>
      <c r="L797">
        <v>0</v>
      </c>
      <c r="M797">
        <v>0</v>
      </c>
      <c r="N797">
        <v>0</v>
      </c>
    </row>
    <row r="798" spans="1:14" ht="12.75" x14ac:dyDescent="0.2">
      <c r="A798">
        <v>6952</v>
      </c>
      <c r="B798" s="342">
        <v>3999</v>
      </c>
      <c r="C798" t="s">
        <v>168</v>
      </c>
      <c r="D798">
        <v>0</v>
      </c>
      <c r="E798">
        <v>0</v>
      </c>
      <c r="F798">
        <v>0</v>
      </c>
      <c r="G798">
        <v>0</v>
      </c>
      <c r="H798">
        <v>0</v>
      </c>
      <c r="I798">
        <v>0</v>
      </c>
      <c r="J798">
        <v>0</v>
      </c>
      <c r="K798">
        <v>0</v>
      </c>
      <c r="L798">
        <v>0</v>
      </c>
      <c r="M798">
        <v>0</v>
      </c>
      <c r="N798">
        <v>0</v>
      </c>
    </row>
    <row r="799" spans="1:14" ht="12.75" x14ac:dyDescent="0.2">
      <c r="A799">
        <v>6952</v>
      </c>
      <c r="B799">
        <v>40000</v>
      </c>
      <c r="C799" t="s">
        <v>1555</v>
      </c>
      <c r="D799">
        <v>0</v>
      </c>
      <c r="E799">
        <v>0</v>
      </c>
      <c r="F799">
        <v>0</v>
      </c>
      <c r="G799">
        <v>0</v>
      </c>
      <c r="H799">
        <v>0</v>
      </c>
      <c r="I799">
        <v>0</v>
      </c>
      <c r="J799">
        <v>0</v>
      </c>
      <c r="K799">
        <v>0</v>
      </c>
      <c r="L799">
        <v>0</v>
      </c>
      <c r="M799">
        <v>0</v>
      </c>
      <c r="N799">
        <v>0</v>
      </c>
    </row>
    <row r="800" spans="1:14" ht="12.75" x14ac:dyDescent="0.2">
      <c r="A800">
        <v>6952</v>
      </c>
      <c r="B800" s="342">
        <v>40001</v>
      </c>
      <c r="C800" t="s">
        <v>369</v>
      </c>
      <c r="D800">
        <v>15420.93</v>
      </c>
      <c r="E800">
        <v>178267.92</v>
      </c>
      <c r="F800">
        <v>182000</v>
      </c>
      <c r="G800">
        <v>0</v>
      </c>
      <c r="H800">
        <v>0</v>
      </c>
      <c r="I800">
        <v>182000</v>
      </c>
      <c r="J800">
        <v>15420.93</v>
      </c>
      <c r="K800">
        <v>178267.92</v>
      </c>
      <c r="L800">
        <v>0</v>
      </c>
      <c r="M800">
        <v>0</v>
      </c>
      <c r="N800">
        <v>0</v>
      </c>
    </row>
    <row r="801" spans="1:14" ht="12.75" x14ac:dyDescent="0.2">
      <c r="A801">
        <v>6952</v>
      </c>
      <c r="B801" s="342">
        <v>40002</v>
      </c>
      <c r="C801" t="s">
        <v>1556</v>
      </c>
      <c r="D801">
        <v>0</v>
      </c>
      <c r="E801">
        <v>593.48</v>
      </c>
      <c r="F801">
        <v>750</v>
      </c>
      <c r="G801">
        <v>0</v>
      </c>
      <c r="H801">
        <v>0</v>
      </c>
      <c r="I801">
        <v>750</v>
      </c>
      <c r="J801">
        <v>0</v>
      </c>
      <c r="K801">
        <v>593.48</v>
      </c>
      <c r="L801">
        <v>0</v>
      </c>
      <c r="M801">
        <v>0</v>
      </c>
      <c r="N801">
        <v>0</v>
      </c>
    </row>
    <row r="802" spans="1:14" ht="12.75" x14ac:dyDescent="0.2">
      <c r="A802">
        <v>6952</v>
      </c>
      <c r="B802" s="342">
        <v>40003</v>
      </c>
      <c r="C802" t="s">
        <v>675</v>
      </c>
      <c r="D802">
        <v>0</v>
      </c>
      <c r="E802">
        <v>0</v>
      </c>
      <c r="F802">
        <v>1500</v>
      </c>
      <c r="G802">
        <v>0</v>
      </c>
      <c r="H802">
        <v>0</v>
      </c>
      <c r="I802">
        <v>1500</v>
      </c>
      <c r="J802">
        <v>0</v>
      </c>
      <c r="K802">
        <v>0</v>
      </c>
      <c r="L802">
        <v>0</v>
      </c>
      <c r="M802">
        <v>0</v>
      </c>
      <c r="N802">
        <v>0</v>
      </c>
    </row>
    <row r="803" spans="1:14" ht="12.75" x14ac:dyDescent="0.2">
      <c r="A803">
        <v>6952</v>
      </c>
      <c r="B803" s="342">
        <v>40010</v>
      </c>
      <c r="C803" t="s">
        <v>1557</v>
      </c>
      <c r="D803">
        <v>396.26</v>
      </c>
      <c r="E803">
        <v>20179.13</v>
      </c>
      <c r="F803">
        <v>35000</v>
      </c>
      <c r="G803">
        <v>0</v>
      </c>
      <c r="H803">
        <v>0</v>
      </c>
      <c r="I803">
        <v>35000</v>
      </c>
      <c r="J803">
        <v>396.26</v>
      </c>
      <c r="K803">
        <v>20179.13</v>
      </c>
      <c r="L803">
        <v>0</v>
      </c>
      <c r="M803">
        <v>0</v>
      </c>
      <c r="N803">
        <v>0</v>
      </c>
    </row>
    <row r="804" spans="1:14" ht="12.75" x14ac:dyDescent="0.2">
      <c r="A804">
        <v>6952</v>
      </c>
      <c r="B804" s="342">
        <v>40011</v>
      </c>
      <c r="C804" t="s">
        <v>1558</v>
      </c>
      <c r="D804">
        <v>0</v>
      </c>
      <c r="E804">
        <v>2361.35</v>
      </c>
      <c r="F804">
        <v>2500</v>
      </c>
      <c r="G804">
        <v>0</v>
      </c>
      <c r="H804">
        <v>0</v>
      </c>
      <c r="I804">
        <v>2500</v>
      </c>
      <c r="J804">
        <v>0</v>
      </c>
      <c r="K804">
        <v>2361.35</v>
      </c>
      <c r="L804">
        <v>0</v>
      </c>
      <c r="M804">
        <v>0</v>
      </c>
      <c r="N804">
        <v>0</v>
      </c>
    </row>
    <row r="805" spans="1:14" ht="12.75" x14ac:dyDescent="0.2">
      <c r="A805">
        <v>6952</v>
      </c>
      <c r="B805" s="342">
        <v>40012</v>
      </c>
      <c r="C805" t="s">
        <v>1559</v>
      </c>
      <c r="D805">
        <v>464.4</v>
      </c>
      <c r="E805">
        <v>3375.68</v>
      </c>
      <c r="F805">
        <v>1000</v>
      </c>
      <c r="G805">
        <v>0</v>
      </c>
      <c r="H805">
        <v>0</v>
      </c>
      <c r="I805">
        <v>1000</v>
      </c>
      <c r="J805">
        <v>464.4</v>
      </c>
      <c r="K805">
        <v>3375.68</v>
      </c>
      <c r="L805">
        <v>0</v>
      </c>
      <c r="M805">
        <v>0</v>
      </c>
      <c r="N805">
        <v>0</v>
      </c>
    </row>
    <row r="806" spans="1:14" ht="12.75" x14ac:dyDescent="0.2">
      <c r="A806">
        <v>6952</v>
      </c>
      <c r="B806" s="342">
        <v>40013</v>
      </c>
      <c r="C806" t="s">
        <v>313</v>
      </c>
      <c r="D806">
        <v>168.01</v>
      </c>
      <c r="E806">
        <v>467.84</v>
      </c>
      <c r="F806">
        <v>500</v>
      </c>
      <c r="G806">
        <v>0</v>
      </c>
      <c r="H806">
        <v>0</v>
      </c>
      <c r="I806">
        <v>500</v>
      </c>
      <c r="J806">
        <v>168.01</v>
      </c>
      <c r="K806">
        <v>467.84</v>
      </c>
      <c r="L806">
        <v>0</v>
      </c>
      <c r="M806">
        <v>0</v>
      </c>
      <c r="N806">
        <v>0</v>
      </c>
    </row>
    <row r="807" spans="1:14" ht="12.75" x14ac:dyDescent="0.2">
      <c r="A807">
        <v>6952</v>
      </c>
      <c r="B807" s="342">
        <v>40014</v>
      </c>
      <c r="C807" t="s">
        <v>619</v>
      </c>
      <c r="D807">
        <v>49.03</v>
      </c>
      <c r="E807">
        <v>16558.82</v>
      </c>
      <c r="F807">
        <v>2000</v>
      </c>
      <c r="G807">
        <v>0</v>
      </c>
      <c r="H807">
        <v>0</v>
      </c>
      <c r="I807">
        <v>2000</v>
      </c>
      <c r="J807">
        <v>49.03</v>
      </c>
      <c r="K807">
        <v>16558.82</v>
      </c>
      <c r="L807">
        <v>0</v>
      </c>
      <c r="M807">
        <v>0</v>
      </c>
      <c r="N807">
        <v>0</v>
      </c>
    </row>
    <row r="808" spans="1:14" ht="12.75" x14ac:dyDescent="0.2">
      <c r="A808">
        <v>6952</v>
      </c>
      <c r="B808">
        <v>41000</v>
      </c>
      <c r="C808" t="s">
        <v>1560</v>
      </c>
      <c r="D808">
        <v>0</v>
      </c>
      <c r="E808">
        <v>0</v>
      </c>
      <c r="F808">
        <v>0</v>
      </c>
      <c r="G808">
        <v>0</v>
      </c>
      <c r="H808">
        <v>0</v>
      </c>
      <c r="I808">
        <v>0</v>
      </c>
      <c r="J808">
        <v>0</v>
      </c>
      <c r="K808">
        <v>0</v>
      </c>
      <c r="L808">
        <v>0</v>
      </c>
      <c r="M808">
        <v>0</v>
      </c>
      <c r="N808">
        <v>0</v>
      </c>
    </row>
    <row r="809" spans="1:14" ht="12.75" x14ac:dyDescent="0.2">
      <c r="A809">
        <v>6952</v>
      </c>
      <c r="B809" s="342">
        <v>41001</v>
      </c>
      <c r="C809" t="s">
        <v>369</v>
      </c>
      <c r="D809">
        <v>29360.87</v>
      </c>
      <c r="E809">
        <v>188761.21</v>
      </c>
      <c r="F809">
        <v>250200</v>
      </c>
      <c r="G809">
        <v>0</v>
      </c>
      <c r="H809">
        <v>0</v>
      </c>
      <c r="I809">
        <v>250200</v>
      </c>
      <c r="J809">
        <v>29360.87</v>
      </c>
      <c r="K809">
        <v>188761.21</v>
      </c>
      <c r="L809">
        <v>0</v>
      </c>
      <c r="M809">
        <v>0</v>
      </c>
      <c r="N809">
        <v>0</v>
      </c>
    </row>
    <row r="810" spans="1:14" ht="12.75" x14ac:dyDescent="0.2">
      <c r="A810">
        <v>6952</v>
      </c>
      <c r="B810" s="342">
        <v>41002</v>
      </c>
      <c r="C810" t="s">
        <v>1556</v>
      </c>
      <c r="D810">
        <v>0</v>
      </c>
      <c r="E810">
        <v>0</v>
      </c>
      <c r="F810">
        <v>1100</v>
      </c>
      <c r="G810">
        <v>0</v>
      </c>
      <c r="H810">
        <v>0</v>
      </c>
      <c r="I810">
        <v>1100</v>
      </c>
      <c r="J810">
        <v>0</v>
      </c>
      <c r="K810">
        <v>0</v>
      </c>
      <c r="L810">
        <v>0</v>
      </c>
      <c r="M810">
        <v>0</v>
      </c>
      <c r="N810">
        <v>0</v>
      </c>
    </row>
    <row r="811" spans="1:14" ht="12.75" x14ac:dyDescent="0.2">
      <c r="A811">
        <v>6952</v>
      </c>
      <c r="B811" s="342">
        <v>41003</v>
      </c>
      <c r="C811" t="s">
        <v>675</v>
      </c>
      <c r="D811">
        <v>163.81</v>
      </c>
      <c r="E811">
        <v>163.81</v>
      </c>
      <c r="F811">
        <v>4500</v>
      </c>
      <c r="G811">
        <v>0</v>
      </c>
      <c r="H811">
        <v>0</v>
      </c>
      <c r="I811">
        <v>4500</v>
      </c>
      <c r="J811">
        <v>163.81</v>
      </c>
      <c r="K811">
        <v>163.81</v>
      </c>
      <c r="L811">
        <v>0</v>
      </c>
      <c r="M811">
        <v>0</v>
      </c>
      <c r="N811">
        <v>0</v>
      </c>
    </row>
    <row r="812" spans="1:14" ht="12.75" x14ac:dyDescent="0.2">
      <c r="A812">
        <v>6952</v>
      </c>
      <c r="B812" s="342">
        <v>41004</v>
      </c>
      <c r="C812" t="s">
        <v>276</v>
      </c>
      <c r="D812">
        <v>631.53</v>
      </c>
      <c r="E812">
        <v>3744.39</v>
      </c>
      <c r="F812">
        <v>8000</v>
      </c>
      <c r="G812">
        <v>0</v>
      </c>
      <c r="H812">
        <v>0</v>
      </c>
      <c r="I812">
        <v>8000</v>
      </c>
      <c r="J812">
        <v>631.53</v>
      </c>
      <c r="K812">
        <v>3744.39</v>
      </c>
      <c r="L812">
        <v>0</v>
      </c>
      <c r="M812">
        <v>0</v>
      </c>
      <c r="N812">
        <v>0</v>
      </c>
    </row>
    <row r="813" spans="1:14" ht="12.75" x14ac:dyDescent="0.2">
      <c r="A813">
        <v>6952</v>
      </c>
      <c r="B813">
        <v>41005</v>
      </c>
      <c r="C813" t="s">
        <v>319</v>
      </c>
      <c r="D813">
        <v>0</v>
      </c>
      <c r="E813">
        <v>0</v>
      </c>
      <c r="F813">
        <v>0</v>
      </c>
      <c r="G813">
        <v>0</v>
      </c>
      <c r="H813">
        <v>0</v>
      </c>
      <c r="I813">
        <v>0</v>
      </c>
      <c r="J813">
        <v>0</v>
      </c>
      <c r="K813">
        <v>0</v>
      </c>
      <c r="L813">
        <v>0</v>
      </c>
      <c r="M813">
        <v>0</v>
      </c>
      <c r="N813">
        <v>0</v>
      </c>
    </row>
    <row r="814" spans="1:14" ht="12.75" x14ac:dyDescent="0.2">
      <c r="A814">
        <v>6952</v>
      </c>
      <c r="B814">
        <v>41006</v>
      </c>
      <c r="C814" t="s">
        <v>619</v>
      </c>
      <c r="D814">
        <v>0</v>
      </c>
      <c r="E814">
        <v>0</v>
      </c>
      <c r="F814">
        <v>0</v>
      </c>
      <c r="G814">
        <v>0</v>
      </c>
      <c r="H814">
        <v>0</v>
      </c>
      <c r="I814">
        <v>0</v>
      </c>
      <c r="J814">
        <v>0</v>
      </c>
      <c r="K814">
        <v>0</v>
      </c>
      <c r="L814">
        <v>0</v>
      </c>
      <c r="M814">
        <v>0</v>
      </c>
      <c r="N814">
        <v>0</v>
      </c>
    </row>
    <row r="815" spans="1:14" ht="12.75" x14ac:dyDescent="0.2">
      <c r="A815">
        <v>6952</v>
      </c>
      <c r="B815" s="342">
        <v>41010</v>
      </c>
      <c r="C815" t="s">
        <v>1561</v>
      </c>
      <c r="D815">
        <v>1594.72</v>
      </c>
      <c r="E815">
        <v>77017.070000000007</v>
      </c>
      <c r="F815">
        <v>28000</v>
      </c>
      <c r="G815">
        <v>0</v>
      </c>
      <c r="H815">
        <v>0</v>
      </c>
      <c r="I815">
        <v>28000</v>
      </c>
      <c r="J815">
        <v>1594.72</v>
      </c>
      <c r="K815">
        <v>77017.070000000007</v>
      </c>
      <c r="L815">
        <v>0</v>
      </c>
      <c r="M815">
        <v>0</v>
      </c>
      <c r="N815">
        <v>0</v>
      </c>
    </row>
    <row r="816" spans="1:14" ht="12.75" x14ac:dyDescent="0.2">
      <c r="A816">
        <v>6952</v>
      </c>
      <c r="B816" s="342">
        <v>41011</v>
      </c>
      <c r="C816" t="s">
        <v>1562</v>
      </c>
      <c r="D816">
        <v>0</v>
      </c>
      <c r="E816">
        <v>1120.1500000000001</v>
      </c>
      <c r="F816">
        <v>5000</v>
      </c>
      <c r="G816">
        <v>0</v>
      </c>
      <c r="H816">
        <v>0</v>
      </c>
      <c r="I816">
        <v>5000</v>
      </c>
      <c r="J816">
        <v>0</v>
      </c>
      <c r="K816">
        <v>1120.1500000000001</v>
      </c>
      <c r="L816">
        <v>0</v>
      </c>
      <c r="M816">
        <v>0</v>
      </c>
      <c r="N816">
        <v>0</v>
      </c>
    </row>
    <row r="817" spans="1:14" ht="12.75" x14ac:dyDescent="0.2">
      <c r="A817">
        <v>6952</v>
      </c>
      <c r="B817" s="342">
        <v>41012</v>
      </c>
      <c r="C817" t="s">
        <v>1563</v>
      </c>
      <c r="D817">
        <v>0</v>
      </c>
      <c r="E817">
        <v>43.47</v>
      </c>
      <c r="F817">
        <v>2000</v>
      </c>
      <c r="G817">
        <v>0</v>
      </c>
      <c r="H817">
        <v>0</v>
      </c>
      <c r="I817">
        <v>2000</v>
      </c>
      <c r="J817">
        <v>0</v>
      </c>
      <c r="K817">
        <v>43.47</v>
      </c>
      <c r="L817">
        <v>0</v>
      </c>
      <c r="M817">
        <v>0</v>
      </c>
      <c r="N817">
        <v>0</v>
      </c>
    </row>
    <row r="818" spans="1:14" ht="12.75" x14ac:dyDescent="0.2">
      <c r="A818">
        <v>6952</v>
      </c>
      <c r="B818" s="342">
        <v>41013</v>
      </c>
      <c r="C818" t="s">
        <v>1564</v>
      </c>
      <c r="D818">
        <v>0</v>
      </c>
      <c r="E818">
        <v>21039.05</v>
      </c>
      <c r="F818">
        <v>14000</v>
      </c>
      <c r="G818">
        <v>0</v>
      </c>
      <c r="H818">
        <v>0</v>
      </c>
      <c r="I818">
        <v>14000</v>
      </c>
      <c r="J818">
        <v>0</v>
      </c>
      <c r="K818">
        <v>21039.05</v>
      </c>
      <c r="L818">
        <v>0</v>
      </c>
      <c r="M818">
        <v>0</v>
      </c>
      <c r="N818">
        <v>0</v>
      </c>
    </row>
    <row r="819" spans="1:14" ht="12.75" x14ac:dyDescent="0.2">
      <c r="A819">
        <v>6952</v>
      </c>
      <c r="B819" s="342">
        <v>41014</v>
      </c>
      <c r="C819" t="s">
        <v>1565</v>
      </c>
      <c r="D819">
        <v>1513.57</v>
      </c>
      <c r="E819">
        <v>10253.36</v>
      </c>
      <c r="F819">
        <v>105000</v>
      </c>
      <c r="G819">
        <v>0</v>
      </c>
      <c r="H819">
        <v>0</v>
      </c>
      <c r="I819">
        <v>105000</v>
      </c>
      <c r="J819">
        <v>1513.57</v>
      </c>
      <c r="K819">
        <v>10253.36</v>
      </c>
      <c r="L819">
        <v>0</v>
      </c>
      <c r="M819">
        <v>0</v>
      </c>
      <c r="N819">
        <v>0</v>
      </c>
    </row>
    <row r="820" spans="1:14" ht="12.75" x14ac:dyDescent="0.2">
      <c r="A820">
        <v>6952</v>
      </c>
      <c r="B820" s="342">
        <v>41015</v>
      </c>
      <c r="C820" t="s">
        <v>1566</v>
      </c>
      <c r="D820">
        <v>258.52</v>
      </c>
      <c r="E820">
        <v>1465.58</v>
      </c>
      <c r="F820">
        <v>1680</v>
      </c>
      <c r="G820">
        <v>0</v>
      </c>
      <c r="H820">
        <v>0</v>
      </c>
      <c r="I820">
        <v>1680</v>
      </c>
      <c r="J820">
        <v>258.52</v>
      </c>
      <c r="K820">
        <v>1465.58</v>
      </c>
      <c r="L820">
        <v>0</v>
      </c>
      <c r="M820">
        <v>0</v>
      </c>
      <c r="N820">
        <v>0</v>
      </c>
    </row>
    <row r="821" spans="1:14" ht="12.75" x14ac:dyDescent="0.2">
      <c r="A821">
        <v>6952</v>
      </c>
      <c r="B821" s="342">
        <v>41016</v>
      </c>
      <c r="C821" t="s">
        <v>1567</v>
      </c>
      <c r="D821">
        <v>70000</v>
      </c>
      <c r="E821">
        <v>210000</v>
      </c>
      <c r="F821">
        <v>210000</v>
      </c>
      <c r="G821">
        <v>0</v>
      </c>
      <c r="H821">
        <v>0</v>
      </c>
      <c r="I821">
        <v>210000</v>
      </c>
      <c r="J821">
        <v>70000</v>
      </c>
      <c r="K821">
        <v>210000</v>
      </c>
      <c r="L821">
        <v>0</v>
      </c>
      <c r="M821">
        <v>0</v>
      </c>
      <c r="N821">
        <v>0</v>
      </c>
    </row>
    <row r="822" spans="1:14" ht="12.75" x14ac:dyDescent="0.2">
      <c r="A822">
        <v>6952</v>
      </c>
      <c r="B822">
        <v>45999</v>
      </c>
      <c r="C822" t="s">
        <v>1402</v>
      </c>
      <c r="D822">
        <v>0</v>
      </c>
      <c r="E822">
        <v>0</v>
      </c>
      <c r="F822">
        <v>0</v>
      </c>
      <c r="G822">
        <v>0</v>
      </c>
      <c r="H822">
        <v>0</v>
      </c>
      <c r="I822">
        <v>0</v>
      </c>
      <c r="J822">
        <v>0</v>
      </c>
      <c r="K822">
        <v>0</v>
      </c>
      <c r="L822">
        <v>0</v>
      </c>
      <c r="M822">
        <v>0</v>
      </c>
      <c r="N822">
        <v>0</v>
      </c>
    </row>
    <row r="823" spans="1:14" ht="12.75" x14ac:dyDescent="0.2">
      <c r="A823">
        <v>6952</v>
      </c>
      <c r="B823" s="342">
        <v>46000</v>
      </c>
      <c r="C823" t="s">
        <v>850</v>
      </c>
      <c r="D823">
        <v>2787</v>
      </c>
      <c r="E823">
        <v>33444</v>
      </c>
      <c r="F823">
        <v>33263</v>
      </c>
      <c r="G823">
        <v>31200</v>
      </c>
      <c r="H823">
        <v>31200</v>
      </c>
      <c r="I823">
        <v>33263</v>
      </c>
      <c r="J823">
        <v>2787</v>
      </c>
      <c r="K823">
        <v>33444</v>
      </c>
      <c r="L823">
        <v>31200</v>
      </c>
      <c r="M823">
        <v>31200</v>
      </c>
      <c r="N823">
        <v>0</v>
      </c>
    </row>
    <row r="824" spans="1:14" ht="12.75" x14ac:dyDescent="0.2">
      <c r="A824">
        <v>6952</v>
      </c>
      <c r="B824" s="342">
        <v>46040</v>
      </c>
      <c r="C824" t="s">
        <v>648</v>
      </c>
      <c r="D824">
        <v>993.88</v>
      </c>
      <c r="E824">
        <v>11927</v>
      </c>
      <c r="F824">
        <v>11927</v>
      </c>
      <c r="G824">
        <v>11580</v>
      </c>
      <c r="H824">
        <v>11580</v>
      </c>
      <c r="I824">
        <v>11927</v>
      </c>
      <c r="J824">
        <v>993.88</v>
      </c>
      <c r="K824">
        <v>11927.04</v>
      </c>
      <c r="L824">
        <v>11580</v>
      </c>
      <c r="M824">
        <v>11580</v>
      </c>
      <c r="N824">
        <v>0</v>
      </c>
    </row>
    <row r="825" spans="1:14" ht="12.75" x14ac:dyDescent="0.2">
      <c r="A825">
        <v>6952</v>
      </c>
      <c r="B825" s="342">
        <v>46060</v>
      </c>
      <c r="C825" t="s">
        <v>103</v>
      </c>
      <c r="D825">
        <v>3605.93</v>
      </c>
      <c r="E825">
        <v>32628.799999999999</v>
      </c>
      <c r="F825">
        <v>23000</v>
      </c>
      <c r="G825">
        <v>50113.85</v>
      </c>
      <c r="H825">
        <v>50113.85</v>
      </c>
      <c r="I825">
        <v>23000</v>
      </c>
      <c r="J825">
        <v>3605.93</v>
      </c>
      <c r="K825">
        <v>32628.799999999999</v>
      </c>
      <c r="L825">
        <v>69601.45</v>
      </c>
      <c r="M825">
        <v>69601.45</v>
      </c>
      <c r="N825">
        <v>0</v>
      </c>
    </row>
    <row r="826" spans="1:14" ht="12.75" x14ac:dyDescent="0.2">
      <c r="A826">
        <v>6952</v>
      </c>
      <c r="B826" s="342">
        <v>46080</v>
      </c>
      <c r="C826" t="s">
        <v>104</v>
      </c>
      <c r="D826">
        <v>6000</v>
      </c>
      <c r="E826">
        <v>6000</v>
      </c>
      <c r="F826">
        <v>12000</v>
      </c>
      <c r="G826">
        <v>5960</v>
      </c>
      <c r="H826">
        <v>5960</v>
      </c>
      <c r="I826">
        <v>12000</v>
      </c>
      <c r="J826">
        <v>6000</v>
      </c>
      <c r="K826">
        <v>6000</v>
      </c>
      <c r="L826">
        <v>5960</v>
      </c>
      <c r="M826">
        <v>5960</v>
      </c>
      <c r="N826">
        <v>0</v>
      </c>
    </row>
    <row r="827" spans="1:14" ht="12.75" x14ac:dyDescent="0.2">
      <c r="A827">
        <v>6952</v>
      </c>
      <c r="B827" s="342">
        <v>46100</v>
      </c>
      <c r="C827" t="s">
        <v>105</v>
      </c>
      <c r="D827">
        <v>0</v>
      </c>
      <c r="E827">
        <v>10568.9</v>
      </c>
      <c r="F827">
        <v>10000</v>
      </c>
      <c r="G827">
        <v>10463.44</v>
      </c>
      <c r="H827">
        <v>10463.44</v>
      </c>
      <c r="I827">
        <v>10000</v>
      </c>
      <c r="J827">
        <v>0</v>
      </c>
      <c r="K827">
        <v>10568.9</v>
      </c>
      <c r="L827">
        <v>10463.44</v>
      </c>
      <c r="M827">
        <v>10463.44</v>
      </c>
      <c r="N827">
        <v>0</v>
      </c>
    </row>
    <row r="828" spans="1:14" ht="12.75" x14ac:dyDescent="0.2">
      <c r="A828">
        <v>6952</v>
      </c>
      <c r="B828" s="342">
        <v>46160</v>
      </c>
      <c r="C828" t="s">
        <v>106</v>
      </c>
      <c r="D828">
        <v>0</v>
      </c>
      <c r="E828">
        <v>203.15</v>
      </c>
      <c r="F828">
        <v>250</v>
      </c>
      <c r="G828">
        <v>280.82</v>
      </c>
      <c r="H828">
        <v>280.82</v>
      </c>
      <c r="I828">
        <v>250</v>
      </c>
      <c r="J828">
        <v>0</v>
      </c>
      <c r="K828">
        <v>203.15</v>
      </c>
      <c r="L828">
        <v>280.82</v>
      </c>
      <c r="M828">
        <v>280.82</v>
      </c>
      <c r="N828">
        <v>0</v>
      </c>
    </row>
    <row r="829" spans="1:14" ht="12.75" x14ac:dyDescent="0.2">
      <c r="A829">
        <v>6952</v>
      </c>
      <c r="B829" s="342">
        <v>46180</v>
      </c>
      <c r="C829" t="s">
        <v>107</v>
      </c>
      <c r="D829">
        <v>0</v>
      </c>
      <c r="E829">
        <v>0</v>
      </c>
      <c r="F829">
        <v>1000</v>
      </c>
      <c r="G829">
        <v>1000</v>
      </c>
      <c r="H829">
        <v>1000</v>
      </c>
      <c r="I829">
        <v>1000</v>
      </c>
      <c r="J829">
        <v>0</v>
      </c>
      <c r="K829">
        <v>0</v>
      </c>
      <c r="L829">
        <v>1000</v>
      </c>
      <c r="M829">
        <v>1000</v>
      </c>
      <c r="N829">
        <v>0</v>
      </c>
    </row>
    <row r="830" spans="1:14" ht="12.75" x14ac:dyDescent="0.2">
      <c r="A830">
        <v>6952</v>
      </c>
      <c r="B830" s="342">
        <v>46190</v>
      </c>
      <c r="C830" t="s">
        <v>108</v>
      </c>
      <c r="D830">
        <v>1342.73</v>
      </c>
      <c r="E830">
        <v>11636.92</v>
      </c>
      <c r="F830">
        <v>6000</v>
      </c>
      <c r="G830">
        <v>12659.6</v>
      </c>
      <c r="H830">
        <v>12659.6</v>
      </c>
      <c r="I830">
        <v>6000</v>
      </c>
      <c r="J830">
        <v>1342.73</v>
      </c>
      <c r="K830">
        <v>11636.92</v>
      </c>
      <c r="L830">
        <v>12659.6</v>
      </c>
      <c r="M830">
        <v>12659.6</v>
      </c>
      <c r="N830">
        <v>0</v>
      </c>
    </row>
    <row r="831" spans="1:14" ht="12.75" x14ac:dyDescent="0.2">
      <c r="A831">
        <v>6952</v>
      </c>
      <c r="B831" s="342">
        <v>46220</v>
      </c>
      <c r="C831" t="s">
        <v>357</v>
      </c>
      <c r="D831">
        <v>650.88</v>
      </c>
      <c r="E831">
        <v>2909.41</v>
      </c>
      <c r="F831">
        <v>2500</v>
      </c>
      <c r="G831">
        <v>3383.15</v>
      </c>
      <c r="H831">
        <v>3383.15</v>
      </c>
      <c r="I831">
        <v>2500</v>
      </c>
      <c r="J831">
        <v>650.88</v>
      </c>
      <c r="K831">
        <v>2953.63</v>
      </c>
      <c r="L831">
        <v>3393.58</v>
      </c>
      <c r="M831">
        <v>3393.58</v>
      </c>
      <c r="N831">
        <v>0</v>
      </c>
    </row>
    <row r="832" spans="1:14" ht="12.75" x14ac:dyDescent="0.2">
      <c r="A832">
        <v>6952</v>
      </c>
      <c r="B832" s="342">
        <v>46240</v>
      </c>
      <c r="C832" t="s">
        <v>320</v>
      </c>
      <c r="D832">
        <v>86.36</v>
      </c>
      <c r="E832">
        <v>3841.02</v>
      </c>
      <c r="F832">
        <v>2500</v>
      </c>
      <c r="G832">
        <v>1864.28</v>
      </c>
      <c r="H832">
        <v>1864.28</v>
      </c>
      <c r="I832">
        <v>2500</v>
      </c>
      <c r="J832">
        <v>86.36</v>
      </c>
      <c r="K832">
        <v>4475.78</v>
      </c>
      <c r="L832">
        <v>2372.79</v>
      </c>
      <c r="M832">
        <v>2372.79</v>
      </c>
      <c r="N832">
        <v>0</v>
      </c>
    </row>
    <row r="833" spans="1:14" ht="12.75" x14ac:dyDescent="0.2">
      <c r="A833">
        <v>6952</v>
      </c>
      <c r="B833" s="342">
        <v>46260</v>
      </c>
      <c r="C833" t="s">
        <v>303</v>
      </c>
      <c r="D833">
        <v>552.9</v>
      </c>
      <c r="E833">
        <v>10959.67</v>
      </c>
      <c r="F833">
        <v>16300</v>
      </c>
      <c r="G833">
        <v>17064.79</v>
      </c>
      <c r="H833">
        <v>17064.79</v>
      </c>
      <c r="I833">
        <v>16300</v>
      </c>
      <c r="J833">
        <v>552.9</v>
      </c>
      <c r="K833">
        <v>10959.67</v>
      </c>
      <c r="L833">
        <v>17064.79</v>
      </c>
      <c r="M833">
        <v>17064.79</v>
      </c>
      <c r="N833">
        <v>0</v>
      </c>
    </row>
    <row r="834" spans="1:14" ht="12.75" x14ac:dyDescent="0.2">
      <c r="A834">
        <v>6952</v>
      </c>
      <c r="B834" s="342">
        <v>46300</v>
      </c>
      <c r="C834" t="s">
        <v>851</v>
      </c>
      <c r="D834">
        <v>0</v>
      </c>
      <c r="E834">
        <v>2035.32</v>
      </c>
      <c r="F834">
        <v>2500</v>
      </c>
      <c r="G834">
        <v>1374.14</v>
      </c>
      <c r="H834">
        <v>1374.14</v>
      </c>
      <c r="I834">
        <v>2500</v>
      </c>
      <c r="J834">
        <v>0</v>
      </c>
      <c r="K834">
        <v>2035.32</v>
      </c>
      <c r="L834">
        <v>1374.14</v>
      </c>
      <c r="M834">
        <v>1374.14</v>
      </c>
      <c r="N834">
        <v>0</v>
      </c>
    </row>
    <row r="835" spans="1:14" ht="12.75" x14ac:dyDescent="0.2">
      <c r="A835">
        <v>6952</v>
      </c>
      <c r="B835" s="342">
        <v>46320</v>
      </c>
      <c r="C835" t="s">
        <v>852</v>
      </c>
      <c r="D835">
        <v>349.05</v>
      </c>
      <c r="E835">
        <v>10214.33</v>
      </c>
      <c r="F835">
        <v>7000</v>
      </c>
      <c r="G835">
        <v>7000.23</v>
      </c>
      <c r="H835">
        <v>7000.23</v>
      </c>
      <c r="I835">
        <v>7000</v>
      </c>
      <c r="J835">
        <v>349.05</v>
      </c>
      <c r="K835">
        <v>10259.34</v>
      </c>
      <c r="L835">
        <v>7000.23</v>
      </c>
      <c r="M835">
        <v>7000.23</v>
      </c>
      <c r="N835">
        <v>0</v>
      </c>
    </row>
    <row r="836" spans="1:14" ht="12.75" x14ac:dyDescent="0.2">
      <c r="A836">
        <v>6952</v>
      </c>
      <c r="B836" s="342">
        <v>46360</v>
      </c>
      <c r="C836" t="s">
        <v>313</v>
      </c>
      <c r="D836">
        <v>-1674.98</v>
      </c>
      <c r="E836">
        <v>547.97</v>
      </c>
      <c r="F836">
        <v>3500</v>
      </c>
      <c r="G836">
        <v>4856.03</v>
      </c>
      <c r="H836">
        <v>4856.03</v>
      </c>
      <c r="I836">
        <v>3500</v>
      </c>
      <c r="J836">
        <v>-1674.98</v>
      </c>
      <c r="K836">
        <v>7442.27</v>
      </c>
      <c r="L836">
        <v>5610.28</v>
      </c>
      <c r="M836">
        <v>5610.28</v>
      </c>
      <c r="N836">
        <v>0</v>
      </c>
    </row>
    <row r="837" spans="1:14" ht="12.75" x14ac:dyDescent="0.2">
      <c r="A837">
        <v>6952</v>
      </c>
      <c r="B837" s="342">
        <v>46380</v>
      </c>
      <c r="C837" t="s">
        <v>853</v>
      </c>
      <c r="D837">
        <v>0</v>
      </c>
      <c r="E837">
        <v>0</v>
      </c>
      <c r="F837">
        <v>0</v>
      </c>
      <c r="G837">
        <v>165</v>
      </c>
      <c r="H837">
        <v>165</v>
      </c>
      <c r="I837">
        <v>0</v>
      </c>
      <c r="J837">
        <v>0</v>
      </c>
      <c r="K837">
        <v>0</v>
      </c>
      <c r="L837">
        <v>165</v>
      </c>
      <c r="M837">
        <v>165</v>
      </c>
      <c r="N837">
        <v>0</v>
      </c>
    </row>
    <row r="838" spans="1:14" ht="12.75" x14ac:dyDescent="0.2">
      <c r="A838">
        <v>6952</v>
      </c>
      <c r="B838" s="342">
        <v>46400</v>
      </c>
      <c r="C838" t="s">
        <v>854</v>
      </c>
      <c r="D838">
        <v>470.91</v>
      </c>
      <c r="E838">
        <v>5294.33</v>
      </c>
      <c r="F838">
        <v>2500</v>
      </c>
      <c r="G838">
        <v>4524.92</v>
      </c>
      <c r="H838">
        <v>4524.92</v>
      </c>
      <c r="I838">
        <v>2500</v>
      </c>
      <c r="J838">
        <v>470.91</v>
      </c>
      <c r="K838">
        <v>5294.33</v>
      </c>
      <c r="L838">
        <v>4524.92</v>
      </c>
      <c r="M838">
        <v>4524.92</v>
      </c>
      <c r="N838">
        <v>0</v>
      </c>
    </row>
    <row r="839" spans="1:14" ht="12.75" x14ac:dyDescent="0.2">
      <c r="A839">
        <v>6952</v>
      </c>
      <c r="B839" s="342">
        <v>46401</v>
      </c>
      <c r="C839" t="s">
        <v>371</v>
      </c>
      <c r="D839">
        <v>0</v>
      </c>
      <c r="E839">
        <v>0</v>
      </c>
      <c r="F839">
        <v>0</v>
      </c>
      <c r="G839">
        <v>0</v>
      </c>
      <c r="H839">
        <v>0</v>
      </c>
      <c r="I839">
        <v>0</v>
      </c>
      <c r="J839">
        <v>0</v>
      </c>
      <c r="K839">
        <v>0</v>
      </c>
      <c r="L839">
        <v>0</v>
      </c>
      <c r="M839">
        <v>0</v>
      </c>
      <c r="N839">
        <v>0</v>
      </c>
    </row>
    <row r="840" spans="1:14" ht="12.75" x14ac:dyDescent="0.2">
      <c r="A840">
        <v>6952</v>
      </c>
      <c r="B840" s="342">
        <v>46402</v>
      </c>
      <c r="C840" t="s">
        <v>302</v>
      </c>
      <c r="D840">
        <v>0</v>
      </c>
      <c r="E840">
        <v>1074.42</v>
      </c>
      <c r="F840">
        <v>1600</v>
      </c>
      <c r="G840">
        <v>1362.61</v>
      </c>
      <c r="H840">
        <v>1362.61</v>
      </c>
      <c r="I840">
        <v>1600</v>
      </c>
      <c r="J840">
        <v>0</v>
      </c>
      <c r="K840">
        <v>1074.42</v>
      </c>
      <c r="L840">
        <v>1362.61</v>
      </c>
      <c r="M840">
        <v>1362.61</v>
      </c>
      <c r="N840">
        <v>0</v>
      </c>
    </row>
    <row r="841" spans="1:14" ht="12.75" x14ac:dyDescent="0.2">
      <c r="A841">
        <v>6952</v>
      </c>
      <c r="B841" s="342">
        <v>46520</v>
      </c>
      <c r="C841" t="s">
        <v>855</v>
      </c>
      <c r="D841">
        <v>0</v>
      </c>
      <c r="E841">
        <v>0</v>
      </c>
      <c r="F841">
        <v>0</v>
      </c>
      <c r="G841">
        <v>0</v>
      </c>
      <c r="H841">
        <v>0</v>
      </c>
      <c r="I841">
        <v>0</v>
      </c>
      <c r="J841">
        <v>0</v>
      </c>
      <c r="K841">
        <v>0</v>
      </c>
      <c r="L841">
        <v>0</v>
      </c>
      <c r="M841">
        <v>0</v>
      </c>
      <c r="N841">
        <v>0</v>
      </c>
    </row>
    <row r="842" spans="1:14" ht="12.75" x14ac:dyDescent="0.2">
      <c r="A842">
        <v>6952</v>
      </c>
      <c r="B842" s="342">
        <v>46560</v>
      </c>
      <c r="C842" t="s">
        <v>852</v>
      </c>
      <c r="D842">
        <v>0</v>
      </c>
      <c r="E842">
        <v>0</v>
      </c>
      <c r="F842">
        <v>0</v>
      </c>
      <c r="G842">
        <v>0</v>
      </c>
      <c r="H842">
        <v>0</v>
      </c>
      <c r="I842">
        <v>0</v>
      </c>
      <c r="J842">
        <v>0</v>
      </c>
      <c r="K842">
        <v>0</v>
      </c>
      <c r="L842">
        <v>0</v>
      </c>
      <c r="M842">
        <v>0</v>
      </c>
      <c r="N842">
        <v>0</v>
      </c>
    </row>
    <row r="843" spans="1:14" ht="12.75" x14ac:dyDescent="0.2">
      <c r="A843">
        <v>6952</v>
      </c>
      <c r="B843" s="342">
        <v>46570</v>
      </c>
      <c r="C843" t="s">
        <v>856</v>
      </c>
      <c r="D843">
        <v>0</v>
      </c>
      <c r="E843">
        <v>0</v>
      </c>
      <c r="F843">
        <v>0</v>
      </c>
      <c r="G843">
        <v>0</v>
      </c>
      <c r="H843">
        <v>0</v>
      </c>
      <c r="I843">
        <v>0</v>
      </c>
      <c r="J843">
        <v>0</v>
      </c>
      <c r="K843">
        <v>0</v>
      </c>
      <c r="L843">
        <v>0</v>
      </c>
      <c r="M843">
        <v>0</v>
      </c>
      <c r="N843">
        <v>0</v>
      </c>
    </row>
    <row r="844" spans="1:14" ht="12.75" x14ac:dyDescent="0.2">
      <c r="A844">
        <v>6952</v>
      </c>
      <c r="B844" s="342">
        <v>46575</v>
      </c>
      <c r="C844" t="s">
        <v>857</v>
      </c>
      <c r="D844">
        <v>0</v>
      </c>
      <c r="E844">
        <v>0</v>
      </c>
      <c r="F844">
        <v>0</v>
      </c>
      <c r="G844">
        <v>0</v>
      </c>
      <c r="H844">
        <v>0</v>
      </c>
      <c r="I844">
        <v>0</v>
      </c>
      <c r="J844">
        <v>0</v>
      </c>
      <c r="K844">
        <v>0</v>
      </c>
      <c r="L844">
        <v>0</v>
      </c>
      <c r="M844">
        <v>0</v>
      </c>
      <c r="N844">
        <v>0</v>
      </c>
    </row>
    <row r="845" spans="1:14" ht="12.75" x14ac:dyDescent="0.2">
      <c r="A845">
        <v>6952</v>
      </c>
      <c r="B845" s="342">
        <v>46580</v>
      </c>
      <c r="C845" t="s">
        <v>858</v>
      </c>
      <c r="D845">
        <v>0</v>
      </c>
      <c r="E845">
        <v>557.54999999999995</v>
      </c>
      <c r="F845">
        <v>558</v>
      </c>
      <c r="G845">
        <v>464.6</v>
      </c>
      <c r="H845">
        <v>464.6</v>
      </c>
      <c r="I845">
        <v>558</v>
      </c>
      <c r="J845">
        <v>0</v>
      </c>
      <c r="K845">
        <v>557.54999999999995</v>
      </c>
      <c r="L845">
        <v>464.6</v>
      </c>
      <c r="M845">
        <v>464.6</v>
      </c>
      <c r="N845">
        <v>0</v>
      </c>
    </row>
    <row r="846" spans="1:14" ht="12.75" x14ac:dyDescent="0.2">
      <c r="A846">
        <v>6952</v>
      </c>
      <c r="B846" s="342">
        <v>46640</v>
      </c>
      <c r="C846" t="s">
        <v>859</v>
      </c>
      <c r="D846">
        <v>5555.54</v>
      </c>
      <c r="E846">
        <v>31562.84</v>
      </c>
      <c r="F846">
        <v>20000</v>
      </c>
      <c r="G846">
        <v>18821.57</v>
      </c>
      <c r="H846">
        <v>18821.57</v>
      </c>
      <c r="I846">
        <v>20000</v>
      </c>
      <c r="J846">
        <v>5555.54</v>
      </c>
      <c r="K846">
        <v>31562.84</v>
      </c>
      <c r="L846">
        <v>18821.57</v>
      </c>
      <c r="M846">
        <v>18821.57</v>
      </c>
      <c r="N846">
        <v>0</v>
      </c>
    </row>
    <row r="847" spans="1:14" ht="12.75" x14ac:dyDescent="0.2">
      <c r="A847">
        <v>6952</v>
      </c>
      <c r="B847">
        <v>46641</v>
      </c>
      <c r="C847" t="s">
        <v>1672</v>
      </c>
      <c r="D847">
        <v>0</v>
      </c>
      <c r="E847">
        <v>0</v>
      </c>
      <c r="F847">
        <v>0</v>
      </c>
      <c r="G847">
        <v>0</v>
      </c>
      <c r="H847">
        <v>0</v>
      </c>
      <c r="I847">
        <v>0</v>
      </c>
      <c r="J847">
        <v>0</v>
      </c>
      <c r="K847">
        <v>0</v>
      </c>
      <c r="L847">
        <v>0</v>
      </c>
      <c r="M847">
        <v>0</v>
      </c>
      <c r="N847">
        <v>0</v>
      </c>
    </row>
    <row r="848" spans="1:14" ht="12.75" x14ac:dyDescent="0.2">
      <c r="A848">
        <v>6952</v>
      </c>
      <c r="B848" s="342">
        <v>46644</v>
      </c>
      <c r="C848" t="s">
        <v>860</v>
      </c>
      <c r="D848">
        <v>49045.1</v>
      </c>
      <c r="E848">
        <v>537009.93000000005</v>
      </c>
      <c r="F848">
        <v>520000</v>
      </c>
      <c r="G848">
        <v>458908.1</v>
      </c>
      <c r="H848">
        <v>458908.1</v>
      </c>
      <c r="I848">
        <v>520000</v>
      </c>
      <c r="J848">
        <v>49045.1</v>
      </c>
      <c r="K848">
        <v>537009.93000000005</v>
      </c>
      <c r="L848">
        <v>458908.1</v>
      </c>
      <c r="M848">
        <v>458908.1</v>
      </c>
      <c r="N848">
        <v>0</v>
      </c>
    </row>
    <row r="849" spans="1:14" ht="12.75" x14ac:dyDescent="0.2">
      <c r="A849">
        <v>6952</v>
      </c>
      <c r="B849" s="342">
        <v>46645</v>
      </c>
      <c r="C849" t="s">
        <v>861</v>
      </c>
      <c r="D849">
        <v>0</v>
      </c>
      <c r="E849">
        <v>0</v>
      </c>
      <c r="F849">
        <v>0</v>
      </c>
      <c r="G849">
        <v>0</v>
      </c>
      <c r="H849">
        <v>0</v>
      </c>
      <c r="I849">
        <v>0</v>
      </c>
      <c r="J849">
        <v>0</v>
      </c>
      <c r="K849">
        <v>0</v>
      </c>
      <c r="L849">
        <v>0</v>
      </c>
      <c r="M849">
        <v>0</v>
      </c>
      <c r="N849">
        <v>0</v>
      </c>
    </row>
    <row r="850" spans="1:14" ht="12.75" x14ac:dyDescent="0.2">
      <c r="A850">
        <v>6952</v>
      </c>
      <c r="B850" s="342">
        <v>46650</v>
      </c>
      <c r="C850" t="s">
        <v>862</v>
      </c>
      <c r="D850">
        <v>0</v>
      </c>
      <c r="E850">
        <v>0</v>
      </c>
      <c r="F850">
        <v>0</v>
      </c>
      <c r="G850">
        <v>0</v>
      </c>
      <c r="H850">
        <v>0</v>
      </c>
      <c r="I850">
        <v>0</v>
      </c>
      <c r="J850">
        <v>0</v>
      </c>
      <c r="K850">
        <v>0</v>
      </c>
      <c r="L850">
        <v>0</v>
      </c>
      <c r="M850">
        <v>0</v>
      </c>
      <c r="N850">
        <v>0</v>
      </c>
    </row>
    <row r="851" spans="1:14" ht="12.75" x14ac:dyDescent="0.2">
      <c r="A851">
        <v>6952</v>
      </c>
      <c r="B851" s="342">
        <v>46655</v>
      </c>
      <c r="C851" t="s">
        <v>1009</v>
      </c>
      <c r="D851">
        <v>855.2</v>
      </c>
      <c r="E851">
        <v>26426.46</v>
      </c>
      <c r="F851">
        <v>34985</v>
      </c>
      <c r="G851">
        <v>27008.33</v>
      </c>
      <c r="H851">
        <v>27008.33</v>
      </c>
      <c r="I851">
        <v>34985</v>
      </c>
      <c r="J851">
        <v>855.2</v>
      </c>
      <c r="K851">
        <v>32439.75</v>
      </c>
      <c r="L851">
        <v>27008.33</v>
      </c>
      <c r="M851">
        <v>27008.33</v>
      </c>
      <c r="N851">
        <v>0</v>
      </c>
    </row>
    <row r="852" spans="1:14" ht="12.75" x14ac:dyDescent="0.2">
      <c r="A852">
        <v>6952</v>
      </c>
      <c r="B852" s="342">
        <v>46657</v>
      </c>
      <c r="C852" t="s">
        <v>1010</v>
      </c>
      <c r="D852">
        <v>0</v>
      </c>
      <c r="E852">
        <v>39996.1</v>
      </c>
      <c r="F852">
        <v>63200</v>
      </c>
      <c r="G852">
        <v>1995.03</v>
      </c>
      <c r="H852">
        <v>1995.03</v>
      </c>
      <c r="I852">
        <v>63200</v>
      </c>
      <c r="J852">
        <v>0</v>
      </c>
      <c r="K852">
        <v>39996.1</v>
      </c>
      <c r="L852">
        <v>1995.03</v>
      </c>
      <c r="M852">
        <v>1995.03</v>
      </c>
      <c r="N852">
        <v>0</v>
      </c>
    </row>
    <row r="853" spans="1:14" ht="12.75" x14ac:dyDescent="0.2">
      <c r="A853">
        <v>6952</v>
      </c>
      <c r="B853" s="342">
        <v>46658</v>
      </c>
      <c r="C853" t="s">
        <v>958</v>
      </c>
      <c r="D853">
        <v>0</v>
      </c>
      <c r="E853">
        <v>5396.78</v>
      </c>
      <c r="F853">
        <v>22400</v>
      </c>
      <c r="G853">
        <v>22407.96</v>
      </c>
      <c r="H853">
        <v>22407.96</v>
      </c>
      <c r="I853">
        <v>22400</v>
      </c>
      <c r="J853">
        <v>0</v>
      </c>
      <c r="K853">
        <v>5396.78</v>
      </c>
      <c r="L853">
        <v>22407.96</v>
      </c>
      <c r="M853">
        <v>22407.96</v>
      </c>
      <c r="N853">
        <v>0</v>
      </c>
    </row>
    <row r="854" spans="1:14" ht="12.75" x14ac:dyDescent="0.2">
      <c r="A854">
        <v>6952</v>
      </c>
      <c r="B854" s="342">
        <v>46660</v>
      </c>
      <c r="C854" t="s">
        <v>1673</v>
      </c>
      <c r="D854">
        <v>0</v>
      </c>
      <c r="E854">
        <v>3650.8</v>
      </c>
      <c r="F854">
        <v>2000</v>
      </c>
      <c r="G854">
        <v>1648</v>
      </c>
      <c r="H854">
        <v>1648</v>
      </c>
      <c r="I854">
        <v>2000</v>
      </c>
      <c r="J854">
        <v>0</v>
      </c>
      <c r="K854">
        <v>3650.8</v>
      </c>
      <c r="L854">
        <v>1648</v>
      </c>
      <c r="M854">
        <v>1648</v>
      </c>
      <c r="N854">
        <v>0</v>
      </c>
    </row>
    <row r="855" spans="1:14" ht="12.75" x14ac:dyDescent="0.2">
      <c r="A855">
        <v>6952</v>
      </c>
      <c r="B855" s="342">
        <v>46665</v>
      </c>
      <c r="C855" t="s">
        <v>1674</v>
      </c>
      <c r="D855">
        <v>0</v>
      </c>
      <c r="E855">
        <v>0</v>
      </c>
      <c r="F855">
        <v>0</v>
      </c>
      <c r="G855">
        <v>0</v>
      </c>
      <c r="H855">
        <v>0</v>
      </c>
      <c r="I855">
        <v>0</v>
      </c>
      <c r="J855">
        <v>0</v>
      </c>
      <c r="K855">
        <v>0</v>
      </c>
      <c r="L855">
        <v>0</v>
      </c>
      <c r="M855">
        <v>0</v>
      </c>
      <c r="N855">
        <v>0</v>
      </c>
    </row>
    <row r="856" spans="1:14" ht="12.75" x14ac:dyDescent="0.2">
      <c r="A856">
        <v>6952</v>
      </c>
      <c r="B856" s="342">
        <v>46670</v>
      </c>
      <c r="C856" t="s">
        <v>863</v>
      </c>
      <c r="D856">
        <v>0</v>
      </c>
      <c r="E856">
        <v>293.52</v>
      </c>
      <c r="F856">
        <v>0</v>
      </c>
      <c r="G856">
        <v>0</v>
      </c>
      <c r="H856">
        <v>0</v>
      </c>
      <c r="I856">
        <v>0</v>
      </c>
      <c r="J856">
        <v>0</v>
      </c>
      <c r="K856">
        <v>293.52</v>
      </c>
      <c r="L856">
        <v>0</v>
      </c>
      <c r="M856">
        <v>0</v>
      </c>
      <c r="N856">
        <v>0</v>
      </c>
    </row>
    <row r="857" spans="1:14" ht="12.75" x14ac:dyDescent="0.2">
      <c r="A857">
        <v>6952</v>
      </c>
      <c r="B857" s="342">
        <v>46675</v>
      </c>
      <c r="C857" t="s">
        <v>864</v>
      </c>
      <c r="D857">
        <v>369.54</v>
      </c>
      <c r="E857">
        <v>20590.259999999998</v>
      </c>
      <c r="F857">
        <v>15000</v>
      </c>
      <c r="G857">
        <v>0</v>
      </c>
      <c r="H857">
        <v>0</v>
      </c>
      <c r="I857">
        <v>15000</v>
      </c>
      <c r="J857">
        <v>369.54</v>
      </c>
      <c r="K857">
        <v>23209</v>
      </c>
      <c r="L857">
        <v>0</v>
      </c>
      <c r="M857">
        <v>0</v>
      </c>
      <c r="N857">
        <v>0</v>
      </c>
    </row>
    <row r="858" spans="1:14" ht="12.75" x14ac:dyDescent="0.2">
      <c r="A858">
        <v>6952</v>
      </c>
      <c r="B858" s="342">
        <v>46680</v>
      </c>
      <c r="C858" t="s">
        <v>865</v>
      </c>
      <c r="D858">
        <v>0</v>
      </c>
      <c r="E858">
        <v>0</v>
      </c>
      <c r="F858">
        <v>0</v>
      </c>
      <c r="G858">
        <v>0</v>
      </c>
      <c r="H858">
        <v>0</v>
      </c>
      <c r="I858">
        <v>0</v>
      </c>
      <c r="J858">
        <v>0</v>
      </c>
      <c r="K858">
        <v>0</v>
      </c>
      <c r="L858">
        <v>0</v>
      </c>
      <c r="M858">
        <v>0</v>
      </c>
      <c r="N858">
        <v>0</v>
      </c>
    </row>
    <row r="859" spans="1:14" ht="12.75" x14ac:dyDescent="0.2">
      <c r="A859">
        <v>6952</v>
      </c>
      <c r="B859" s="342">
        <v>46685</v>
      </c>
      <c r="C859" t="s">
        <v>866</v>
      </c>
      <c r="D859">
        <v>0</v>
      </c>
      <c r="E859">
        <v>3117.14</v>
      </c>
      <c r="F859">
        <v>3000</v>
      </c>
      <c r="G859">
        <v>4455.24</v>
      </c>
      <c r="H859">
        <v>4455.24</v>
      </c>
      <c r="I859">
        <v>3000</v>
      </c>
      <c r="J859">
        <v>0</v>
      </c>
      <c r="K859">
        <v>3117.14</v>
      </c>
      <c r="L859">
        <v>4455.24</v>
      </c>
      <c r="M859">
        <v>4455.24</v>
      </c>
      <c r="N859">
        <v>0</v>
      </c>
    </row>
    <row r="860" spans="1:14" ht="12.75" x14ac:dyDescent="0.2">
      <c r="A860">
        <v>6952</v>
      </c>
      <c r="B860" s="342">
        <v>46690</v>
      </c>
      <c r="C860" t="s">
        <v>1011</v>
      </c>
      <c r="D860">
        <v>125.87</v>
      </c>
      <c r="E860">
        <v>1539.33</v>
      </c>
      <c r="F860">
        <v>1500</v>
      </c>
      <c r="G860">
        <v>3285.32</v>
      </c>
      <c r="H860">
        <v>3285.32</v>
      </c>
      <c r="I860">
        <v>1500</v>
      </c>
      <c r="J860">
        <v>125.87</v>
      </c>
      <c r="K860">
        <v>1539.33</v>
      </c>
      <c r="L860">
        <v>3285.32</v>
      </c>
      <c r="M860">
        <v>3285.32</v>
      </c>
      <c r="N860">
        <v>0</v>
      </c>
    </row>
    <row r="861" spans="1:14" ht="12.75" x14ac:dyDescent="0.2">
      <c r="A861">
        <v>6952</v>
      </c>
      <c r="B861" s="342">
        <v>46691</v>
      </c>
      <c r="C861" t="s">
        <v>1012</v>
      </c>
      <c r="D861">
        <v>0</v>
      </c>
      <c r="E861">
        <v>0</v>
      </c>
      <c r="F861">
        <v>0</v>
      </c>
      <c r="G861">
        <v>0</v>
      </c>
      <c r="H861">
        <v>0</v>
      </c>
      <c r="I861">
        <v>0</v>
      </c>
      <c r="J861">
        <v>0</v>
      </c>
      <c r="K861">
        <v>0</v>
      </c>
      <c r="L861">
        <v>0</v>
      </c>
      <c r="M861">
        <v>0</v>
      </c>
      <c r="N861">
        <v>0</v>
      </c>
    </row>
    <row r="862" spans="1:14" ht="12.75" x14ac:dyDescent="0.2">
      <c r="A862">
        <v>6952</v>
      </c>
      <c r="B862" s="342">
        <v>46760</v>
      </c>
      <c r="C862" t="s">
        <v>867</v>
      </c>
      <c r="D862">
        <v>0</v>
      </c>
      <c r="E862">
        <v>400</v>
      </c>
      <c r="F862">
        <v>400</v>
      </c>
      <c r="G862">
        <v>615.5</v>
      </c>
      <c r="H862">
        <v>615.5</v>
      </c>
      <c r="I862">
        <v>400</v>
      </c>
      <c r="J862">
        <v>0</v>
      </c>
      <c r="K862">
        <v>400</v>
      </c>
      <c r="L862">
        <v>615.5</v>
      </c>
      <c r="M862">
        <v>615.5</v>
      </c>
      <c r="N862">
        <v>0</v>
      </c>
    </row>
    <row r="863" spans="1:14" ht="12.75" x14ac:dyDescent="0.2">
      <c r="A863">
        <v>6952</v>
      </c>
      <c r="B863" s="342">
        <v>46765</v>
      </c>
      <c r="C863" t="s">
        <v>618</v>
      </c>
      <c r="D863">
        <v>0</v>
      </c>
      <c r="E863">
        <v>1099.0899999999999</v>
      </c>
      <c r="F863">
        <v>1060</v>
      </c>
      <c r="G863">
        <v>1060</v>
      </c>
      <c r="H863">
        <v>1060</v>
      </c>
      <c r="I863">
        <v>1060</v>
      </c>
      <c r="J863">
        <v>0</v>
      </c>
      <c r="K863">
        <v>1099.0899999999999</v>
      </c>
      <c r="L863">
        <v>1060</v>
      </c>
      <c r="M863">
        <v>1060</v>
      </c>
      <c r="N863">
        <v>0</v>
      </c>
    </row>
    <row r="864" spans="1:14" ht="12.75" x14ac:dyDescent="0.2">
      <c r="A864">
        <v>6952</v>
      </c>
      <c r="B864" s="342">
        <v>46770</v>
      </c>
      <c r="C864" t="s">
        <v>333</v>
      </c>
      <c r="D864">
        <v>327.98</v>
      </c>
      <c r="E864">
        <v>809.91</v>
      </c>
      <c r="F864">
        <v>300</v>
      </c>
      <c r="G864">
        <v>195.89</v>
      </c>
      <c r="H864">
        <v>195.89</v>
      </c>
      <c r="I864">
        <v>300</v>
      </c>
      <c r="J864">
        <v>327.98</v>
      </c>
      <c r="K864">
        <v>809.91</v>
      </c>
      <c r="L864">
        <v>195.89</v>
      </c>
      <c r="M864">
        <v>195.89</v>
      </c>
      <c r="N864">
        <v>0</v>
      </c>
    </row>
    <row r="865" spans="1:14" ht="12.75" x14ac:dyDescent="0.2">
      <c r="A865">
        <v>6952</v>
      </c>
      <c r="B865" s="342">
        <v>46775</v>
      </c>
      <c r="C865" t="s">
        <v>868</v>
      </c>
      <c r="D865">
        <v>0</v>
      </c>
      <c r="E865">
        <v>0</v>
      </c>
      <c r="F865">
        <v>0</v>
      </c>
      <c r="G865">
        <v>0</v>
      </c>
      <c r="H865">
        <v>0</v>
      </c>
      <c r="I865">
        <v>0</v>
      </c>
      <c r="J865">
        <v>0</v>
      </c>
      <c r="K865">
        <v>0</v>
      </c>
      <c r="L865">
        <v>0</v>
      </c>
      <c r="M865">
        <v>0</v>
      </c>
      <c r="N865">
        <v>0</v>
      </c>
    </row>
    <row r="866" spans="1:14" ht="12.75" x14ac:dyDescent="0.2">
      <c r="A866">
        <v>6952</v>
      </c>
      <c r="B866" s="342">
        <v>46780</v>
      </c>
      <c r="C866" t="s">
        <v>685</v>
      </c>
      <c r="D866">
        <v>0</v>
      </c>
      <c r="E866">
        <v>0</v>
      </c>
      <c r="F866">
        <v>400</v>
      </c>
      <c r="G866">
        <v>0</v>
      </c>
      <c r="H866">
        <v>0</v>
      </c>
      <c r="I866">
        <v>400</v>
      </c>
      <c r="J866">
        <v>0</v>
      </c>
      <c r="K866">
        <v>0</v>
      </c>
      <c r="L866">
        <v>0</v>
      </c>
      <c r="M866">
        <v>0</v>
      </c>
      <c r="N866">
        <v>0</v>
      </c>
    </row>
    <row r="867" spans="1:14" ht="12.75" x14ac:dyDescent="0.2">
      <c r="A867">
        <v>6952</v>
      </c>
      <c r="B867" s="342">
        <v>46785</v>
      </c>
      <c r="C867" t="s">
        <v>889</v>
      </c>
      <c r="D867">
        <v>0</v>
      </c>
      <c r="E867">
        <v>195.2</v>
      </c>
      <c r="F867">
        <v>0</v>
      </c>
      <c r="G867">
        <v>106262.39999999999</v>
      </c>
      <c r="H867">
        <v>106262.39999999999</v>
      </c>
      <c r="I867">
        <v>0</v>
      </c>
      <c r="J867">
        <v>0</v>
      </c>
      <c r="K867">
        <v>4009.2</v>
      </c>
      <c r="L867">
        <v>106279.79</v>
      </c>
      <c r="M867">
        <v>106279.79</v>
      </c>
      <c r="N867">
        <v>0</v>
      </c>
    </row>
    <row r="868" spans="1:14" ht="12.75" x14ac:dyDescent="0.2">
      <c r="A868">
        <v>6952</v>
      </c>
      <c r="B868" s="342">
        <v>46786</v>
      </c>
      <c r="C868" t="s">
        <v>1013</v>
      </c>
      <c r="D868">
        <v>0</v>
      </c>
      <c r="E868">
        <v>0</v>
      </c>
      <c r="F868">
        <v>3000</v>
      </c>
      <c r="G868">
        <v>0</v>
      </c>
      <c r="H868">
        <v>0</v>
      </c>
      <c r="I868">
        <v>3000</v>
      </c>
      <c r="J868">
        <v>0</v>
      </c>
      <c r="K868">
        <v>0</v>
      </c>
      <c r="L868">
        <v>0</v>
      </c>
      <c r="M868">
        <v>0</v>
      </c>
      <c r="N868">
        <v>0</v>
      </c>
    </row>
    <row r="869" spans="1:14" ht="12.75" x14ac:dyDescent="0.2">
      <c r="A869">
        <v>6952</v>
      </c>
      <c r="B869" s="342">
        <v>46800</v>
      </c>
      <c r="C869" t="s">
        <v>869</v>
      </c>
      <c r="D869">
        <v>0</v>
      </c>
      <c r="E869">
        <v>2510.9299999999998</v>
      </c>
      <c r="F869">
        <v>6550</v>
      </c>
      <c r="G869">
        <v>5736.82</v>
      </c>
      <c r="H869">
        <v>5736.82</v>
      </c>
      <c r="I869">
        <v>6550</v>
      </c>
      <c r="J869">
        <v>0</v>
      </c>
      <c r="K869">
        <v>2510.9299999999998</v>
      </c>
      <c r="L869">
        <v>5736.82</v>
      </c>
      <c r="M869">
        <v>5736.82</v>
      </c>
      <c r="N869">
        <v>0</v>
      </c>
    </row>
    <row r="870" spans="1:14" ht="12.75" x14ac:dyDescent="0.2">
      <c r="A870">
        <v>6952</v>
      </c>
      <c r="B870" s="342">
        <v>46820</v>
      </c>
      <c r="C870" t="s">
        <v>870</v>
      </c>
      <c r="D870">
        <v>222.95</v>
      </c>
      <c r="E870">
        <v>239.96</v>
      </c>
      <c r="F870">
        <v>0</v>
      </c>
      <c r="G870">
        <v>513.99</v>
      </c>
      <c r="H870">
        <v>513.99</v>
      </c>
      <c r="I870">
        <v>0</v>
      </c>
      <c r="J870">
        <v>222.95</v>
      </c>
      <c r="K870">
        <v>239.96</v>
      </c>
      <c r="L870">
        <v>513.99</v>
      </c>
      <c r="M870">
        <v>513.99</v>
      </c>
      <c r="N870">
        <v>0</v>
      </c>
    </row>
    <row r="871" spans="1:14" ht="12.75" x14ac:dyDescent="0.2">
      <c r="A871">
        <v>6952</v>
      </c>
      <c r="B871" s="342">
        <v>46860</v>
      </c>
      <c r="C871" t="s">
        <v>871</v>
      </c>
      <c r="D871">
        <v>33443.019999999997</v>
      </c>
      <c r="E871">
        <v>276446.63</v>
      </c>
      <c r="F871">
        <v>259140</v>
      </c>
      <c r="G871">
        <v>261519.06</v>
      </c>
      <c r="H871">
        <v>261519.06</v>
      </c>
      <c r="I871">
        <v>259140</v>
      </c>
      <c r="J871">
        <v>33443.019999999997</v>
      </c>
      <c r="K871">
        <v>276706.08</v>
      </c>
      <c r="L871">
        <v>261519.08</v>
      </c>
      <c r="M871">
        <v>261519.08</v>
      </c>
      <c r="N871">
        <v>0</v>
      </c>
    </row>
    <row r="872" spans="1:14" ht="12.75" x14ac:dyDescent="0.2">
      <c r="A872">
        <v>6952</v>
      </c>
      <c r="B872" s="342">
        <v>46861</v>
      </c>
      <c r="C872" t="s">
        <v>890</v>
      </c>
      <c r="D872">
        <v>0</v>
      </c>
      <c r="E872">
        <v>0</v>
      </c>
      <c r="F872">
        <v>0</v>
      </c>
      <c r="G872">
        <v>0</v>
      </c>
      <c r="H872">
        <v>0</v>
      </c>
      <c r="I872">
        <v>0</v>
      </c>
      <c r="J872">
        <v>0</v>
      </c>
      <c r="K872">
        <v>0</v>
      </c>
      <c r="L872">
        <v>0</v>
      </c>
      <c r="M872">
        <v>0</v>
      </c>
      <c r="N872">
        <v>0</v>
      </c>
    </row>
    <row r="873" spans="1:14" ht="12.75" x14ac:dyDescent="0.2">
      <c r="A873">
        <v>6952</v>
      </c>
      <c r="B873" s="342">
        <v>46880</v>
      </c>
      <c r="C873" t="s">
        <v>872</v>
      </c>
      <c r="D873">
        <v>0</v>
      </c>
      <c r="E873">
        <v>449</v>
      </c>
      <c r="F873">
        <v>2500</v>
      </c>
      <c r="G873">
        <v>660</v>
      </c>
      <c r="H873">
        <v>660</v>
      </c>
      <c r="I873">
        <v>2500</v>
      </c>
      <c r="J873">
        <v>0</v>
      </c>
      <c r="K873">
        <v>449</v>
      </c>
      <c r="L873">
        <v>660</v>
      </c>
      <c r="M873">
        <v>660</v>
      </c>
      <c r="N873">
        <v>0</v>
      </c>
    </row>
    <row r="874" spans="1:14" ht="12.75" x14ac:dyDescent="0.2">
      <c r="A874">
        <v>6952</v>
      </c>
      <c r="B874" s="342">
        <v>46885</v>
      </c>
      <c r="C874" t="s">
        <v>873</v>
      </c>
      <c r="D874">
        <v>665.32</v>
      </c>
      <c r="E874">
        <v>1214.46</v>
      </c>
      <c r="F874">
        <v>0</v>
      </c>
      <c r="G874">
        <v>10618.03</v>
      </c>
      <c r="H874">
        <v>10618.03</v>
      </c>
      <c r="I874">
        <v>0</v>
      </c>
      <c r="J874">
        <v>665.32</v>
      </c>
      <c r="K874">
        <v>1214.46</v>
      </c>
      <c r="L874">
        <v>10618.03</v>
      </c>
      <c r="M874">
        <v>10618.03</v>
      </c>
      <c r="N874">
        <v>0</v>
      </c>
    </row>
    <row r="875" spans="1:14" ht="12.75" x14ac:dyDescent="0.2">
      <c r="A875">
        <v>6952</v>
      </c>
      <c r="B875" s="342">
        <v>46886</v>
      </c>
      <c r="C875" t="s">
        <v>874</v>
      </c>
      <c r="D875">
        <v>2268</v>
      </c>
      <c r="E875">
        <v>10150</v>
      </c>
      <c r="F875">
        <v>7500</v>
      </c>
      <c r="G875">
        <v>10511</v>
      </c>
      <c r="H875">
        <v>10511</v>
      </c>
      <c r="I875">
        <v>7500</v>
      </c>
      <c r="J875">
        <v>2268</v>
      </c>
      <c r="K875">
        <v>10150</v>
      </c>
      <c r="L875">
        <v>10511</v>
      </c>
      <c r="M875">
        <v>10511</v>
      </c>
      <c r="N875">
        <v>0</v>
      </c>
    </row>
    <row r="876" spans="1:14" ht="12.75" x14ac:dyDescent="0.2">
      <c r="A876">
        <v>6952</v>
      </c>
      <c r="B876" s="342">
        <v>46888</v>
      </c>
      <c r="C876" t="s">
        <v>1014</v>
      </c>
      <c r="D876">
        <v>0</v>
      </c>
      <c r="E876">
        <v>0</v>
      </c>
      <c r="F876">
        <v>0</v>
      </c>
      <c r="G876">
        <v>0</v>
      </c>
      <c r="H876">
        <v>0</v>
      </c>
      <c r="I876">
        <v>0</v>
      </c>
      <c r="J876">
        <v>0</v>
      </c>
      <c r="K876">
        <v>0</v>
      </c>
      <c r="L876">
        <v>0</v>
      </c>
      <c r="M876">
        <v>0</v>
      </c>
      <c r="N876">
        <v>0</v>
      </c>
    </row>
    <row r="877" spans="1:14" ht="12.75" x14ac:dyDescent="0.2">
      <c r="A877">
        <v>6952</v>
      </c>
      <c r="B877" s="342">
        <v>46889</v>
      </c>
      <c r="C877" t="s">
        <v>1015</v>
      </c>
      <c r="D877">
        <v>0</v>
      </c>
      <c r="E877">
        <v>0</v>
      </c>
      <c r="F877">
        <v>0</v>
      </c>
      <c r="G877">
        <v>0</v>
      </c>
      <c r="H877">
        <v>0</v>
      </c>
      <c r="I877">
        <v>0</v>
      </c>
      <c r="J877">
        <v>0</v>
      </c>
      <c r="K877">
        <v>0</v>
      </c>
      <c r="L877">
        <v>0</v>
      </c>
      <c r="M877">
        <v>0</v>
      </c>
      <c r="N877">
        <v>0</v>
      </c>
    </row>
    <row r="878" spans="1:14" ht="12.75" x14ac:dyDescent="0.2">
      <c r="A878">
        <v>6952</v>
      </c>
      <c r="B878" s="342">
        <v>46890</v>
      </c>
      <c r="C878" t="s">
        <v>1016</v>
      </c>
      <c r="D878">
        <v>0</v>
      </c>
      <c r="E878">
        <v>0</v>
      </c>
      <c r="F878">
        <v>0</v>
      </c>
      <c r="G878">
        <v>0</v>
      </c>
      <c r="H878">
        <v>0</v>
      </c>
      <c r="I878">
        <v>0</v>
      </c>
      <c r="J878">
        <v>0</v>
      </c>
      <c r="K878">
        <v>0</v>
      </c>
      <c r="L878">
        <v>0</v>
      </c>
      <c r="M878">
        <v>0</v>
      </c>
      <c r="N878">
        <v>0</v>
      </c>
    </row>
    <row r="879" spans="1:14" ht="12.75" x14ac:dyDescent="0.2">
      <c r="A879">
        <v>6952</v>
      </c>
      <c r="B879" s="342">
        <v>46891</v>
      </c>
      <c r="C879" t="s">
        <v>1017</v>
      </c>
      <c r="D879">
        <v>712.66</v>
      </c>
      <c r="E879">
        <v>5739.19</v>
      </c>
      <c r="F879">
        <v>8900</v>
      </c>
      <c r="G879">
        <v>26.08</v>
      </c>
      <c r="H879">
        <v>26.08</v>
      </c>
      <c r="I879">
        <v>8900</v>
      </c>
      <c r="J879">
        <v>712.66</v>
      </c>
      <c r="K879">
        <v>5739.19</v>
      </c>
      <c r="L879">
        <v>26.08</v>
      </c>
      <c r="M879">
        <v>26.08</v>
      </c>
      <c r="N879">
        <v>0</v>
      </c>
    </row>
    <row r="880" spans="1:14" ht="12.75" x14ac:dyDescent="0.2">
      <c r="A880">
        <v>6952</v>
      </c>
      <c r="B880" s="342">
        <v>46892</v>
      </c>
      <c r="C880" t="s">
        <v>1018</v>
      </c>
      <c r="D880">
        <v>0</v>
      </c>
      <c r="E880">
        <v>0</v>
      </c>
      <c r="F880">
        <v>0</v>
      </c>
      <c r="G880">
        <v>0</v>
      </c>
      <c r="H880">
        <v>0</v>
      </c>
      <c r="I880">
        <v>0</v>
      </c>
      <c r="J880">
        <v>0</v>
      </c>
      <c r="K880">
        <v>0</v>
      </c>
      <c r="L880">
        <v>0</v>
      </c>
      <c r="M880">
        <v>0</v>
      </c>
      <c r="N880">
        <v>0</v>
      </c>
    </row>
    <row r="881" spans="1:14" ht="12.75" x14ac:dyDescent="0.2">
      <c r="A881">
        <v>6952</v>
      </c>
      <c r="B881" s="342">
        <v>46893</v>
      </c>
      <c r="C881" t="s">
        <v>1019</v>
      </c>
      <c r="D881">
        <v>0</v>
      </c>
      <c r="E881">
        <v>0</v>
      </c>
      <c r="F881">
        <v>0</v>
      </c>
      <c r="G881">
        <v>0</v>
      </c>
      <c r="H881">
        <v>0</v>
      </c>
      <c r="I881">
        <v>0</v>
      </c>
      <c r="J881">
        <v>0</v>
      </c>
      <c r="K881">
        <v>0</v>
      </c>
      <c r="L881">
        <v>0</v>
      </c>
      <c r="M881">
        <v>0</v>
      </c>
      <c r="N881">
        <v>0</v>
      </c>
    </row>
    <row r="882" spans="1:14" ht="12.75" x14ac:dyDescent="0.2">
      <c r="A882">
        <v>6952</v>
      </c>
      <c r="B882" s="342">
        <v>46894</v>
      </c>
      <c r="C882" t="s">
        <v>1002</v>
      </c>
      <c r="D882">
        <v>0</v>
      </c>
      <c r="E882">
        <v>0</v>
      </c>
      <c r="F882">
        <v>0</v>
      </c>
      <c r="G882">
        <v>0</v>
      </c>
      <c r="H882">
        <v>0</v>
      </c>
      <c r="I882">
        <v>0</v>
      </c>
      <c r="J882">
        <v>0</v>
      </c>
      <c r="K882">
        <v>0</v>
      </c>
      <c r="L882">
        <v>0</v>
      </c>
      <c r="M882">
        <v>0</v>
      </c>
      <c r="N882">
        <v>0</v>
      </c>
    </row>
    <row r="883" spans="1:14" ht="12.75" x14ac:dyDescent="0.2">
      <c r="A883">
        <v>6952</v>
      </c>
      <c r="B883" s="342">
        <v>46895</v>
      </c>
      <c r="C883" t="s">
        <v>1020</v>
      </c>
      <c r="D883">
        <v>0</v>
      </c>
      <c r="E883">
        <v>324.75</v>
      </c>
      <c r="F883">
        <v>0</v>
      </c>
      <c r="G883">
        <v>0</v>
      </c>
      <c r="H883">
        <v>0</v>
      </c>
      <c r="I883">
        <v>0</v>
      </c>
      <c r="J883">
        <v>0</v>
      </c>
      <c r="K883">
        <v>324.75</v>
      </c>
      <c r="L883">
        <v>0</v>
      </c>
      <c r="M883">
        <v>0</v>
      </c>
      <c r="N883">
        <v>0</v>
      </c>
    </row>
    <row r="884" spans="1:14" ht="12.75" x14ac:dyDescent="0.2">
      <c r="A884">
        <v>6952</v>
      </c>
      <c r="B884" s="342">
        <v>46896</v>
      </c>
      <c r="C884" t="s">
        <v>1021</v>
      </c>
      <c r="D884">
        <v>0</v>
      </c>
      <c r="E884">
        <v>0</v>
      </c>
      <c r="F884">
        <v>0</v>
      </c>
      <c r="G884">
        <v>0</v>
      </c>
      <c r="H884">
        <v>0</v>
      </c>
      <c r="I884">
        <v>0</v>
      </c>
      <c r="J884">
        <v>0</v>
      </c>
      <c r="K884">
        <v>0</v>
      </c>
      <c r="L884">
        <v>0</v>
      </c>
      <c r="M884">
        <v>0</v>
      </c>
      <c r="N884">
        <v>0</v>
      </c>
    </row>
    <row r="885" spans="1:14" ht="12.75" x14ac:dyDescent="0.2">
      <c r="A885">
        <v>6952</v>
      </c>
      <c r="B885" s="342">
        <v>46897</v>
      </c>
      <c r="C885" t="s">
        <v>1022</v>
      </c>
      <c r="D885">
        <v>0</v>
      </c>
      <c r="E885">
        <v>6752.7</v>
      </c>
      <c r="F885">
        <v>9900</v>
      </c>
      <c r="G885">
        <v>5565.22</v>
      </c>
      <c r="H885">
        <v>5565.22</v>
      </c>
      <c r="I885">
        <v>9900</v>
      </c>
      <c r="J885">
        <v>0</v>
      </c>
      <c r="K885">
        <v>6752.7</v>
      </c>
      <c r="L885">
        <v>5565.22</v>
      </c>
      <c r="M885">
        <v>5565.22</v>
      </c>
      <c r="N885">
        <v>0</v>
      </c>
    </row>
    <row r="886" spans="1:14" ht="12.75" x14ac:dyDescent="0.2">
      <c r="A886">
        <v>6952</v>
      </c>
      <c r="B886" s="342">
        <v>46950</v>
      </c>
      <c r="C886" t="s">
        <v>875</v>
      </c>
      <c r="D886">
        <v>-815</v>
      </c>
      <c r="E886">
        <v>-815</v>
      </c>
      <c r="F886">
        <v>770</v>
      </c>
      <c r="G886">
        <v>511.32</v>
      </c>
      <c r="H886">
        <v>511.32</v>
      </c>
      <c r="I886">
        <v>770</v>
      </c>
      <c r="J886">
        <v>-815</v>
      </c>
      <c r="K886">
        <v>0</v>
      </c>
      <c r="L886">
        <v>511.32</v>
      </c>
      <c r="M886">
        <v>511.32</v>
      </c>
      <c r="N886">
        <v>0</v>
      </c>
    </row>
    <row r="887" spans="1:14" ht="12.75" x14ac:dyDescent="0.2">
      <c r="A887">
        <v>6952</v>
      </c>
      <c r="B887" s="342">
        <v>57000</v>
      </c>
      <c r="C887" t="s">
        <v>876</v>
      </c>
      <c r="D887">
        <v>2209.5700000000002</v>
      </c>
      <c r="E887">
        <v>13636.45</v>
      </c>
      <c r="F887">
        <v>13000</v>
      </c>
      <c r="G887">
        <v>17050.66</v>
      </c>
      <c r="H887">
        <v>17050.66</v>
      </c>
      <c r="I887">
        <v>13000</v>
      </c>
      <c r="J887">
        <v>2209.5700000000002</v>
      </c>
      <c r="K887">
        <v>13636.45</v>
      </c>
      <c r="L887">
        <v>17050.66</v>
      </c>
      <c r="M887">
        <v>17050.66</v>
      </c>
      <c r="N887">
        <v>0</v>
      </c>
    </row>
    <row r="888" spans="1:14" ht="12.75" x14ac:dyDescent="0.2">
      <c r="A888">
        <v>6952</v>
      </c>
      <c r="B888" s="342">
        <v>57110</v>
      </c>
      <c r="C888" t="s">
        <v>1553</v>
      </c>
      <c r="D888">
        <v>6008.28</v>
      </c>
      <c r="E888">
        <v>31649.77</v>
      </c>
      <c r="F888">
        <v>35000</v>
      </c>
      <c r="G888">
        <v>0</v>
      </c>
      <c r="H888">
        <v>0</v>
      </c>
      <c r="I888">
        <v>35000</v>
      </c>
      <c r="J888">
        <v>6008.28</v>
      </c>
      <c r="K888">
        <v>31649.77</v>
      </c>
      <c r="L888">
        <v>0</v>
      </c>
      <c r="M888">
        <v>0</v>
      </c>
      <c r="N888">
        <v>0</v>
      </c>
    </row>
    <row r="889" spans="1:14" ht="12.75" x14ac:dyDescent="0.2">
      <c r="A889">
        <v>6952</v>
      </c>
      <c r="B889" s="342">
        <v>57120</v>
      </c>
      <c r="C889" t="s">
        <v>1023</v>
      </c>
      <c r="D889">
        <v>2106.64</v>
      </c>
      <c r="E889">
        <v>14487.02</v>
      </c>
      <c r="F889">
        <v>16000</v>
      </c>
      <c r="G889">
        <v>16368.72</v>
      </c>
      <c r="H889">
        <v>16368.72</v>
      </c>
      <c r="I889">
        <v>16000</v>
      </c>
      <c r="J889">
        <v>2106.64</v>
      </c>
      <c r="K889">
        <v>14487.02</v>
      </c>
      <c r="L889">
        <v>16368.72</v>
      </c>
      <c r="M889">
        <v>16368.72</v>
      </c>
      <c r="N889">
        <v>0</v>
      </c>
    </row>
    <row r="890" spans="1:14" ht="12.75" x14ac:dyDescent="0.2">
      <c r="A890">
        <v>6952</v>
      </c>
      <c r="B890" s="342">
        <v>57130</v>
      </c>
      <c r="C890" t="s">
        <v>877</v>
      </c>
      <c r="D890">
        <v>0</v>
      </c>
      <c r="E890">
        <v>0</v>
      </c>
      <c r="F890">
        <v>0</v>
      </c>
      <c r="G890">
        <v>0</v>
      </c>
      <c r="H890">
        <v>0</v>
      </c>
      <c r="I890">
        <v>0</v>
      </c>
      <c r="J890">
        <v>0</v>
      </c>
      <c r="K890">
        <v>0</v>
      </c>
      <c r="L890">
        <v>0</v>
      </c>
      <c r="M890">
        <v>0</v>
      </c>
      <c r="N890">
        <v>0</v>
      </c>
    </row>
    <row r="891" spans="1:14" ht="12.75" x14ac:dyDescent="0.2">
      <c r="A891">
        <v>6952</v>
      </c>
      <c r="B891" s="342">
        <v>57140</v>
      </c>
      <c r="C891" t="s">
        <v>476</v>
      </c>
      <c r="D891">
        <v>0</v>
      </c>
      <c r="E891">
        <v>0</v>
      </c>
      <c r="F891">
        <v>0</v>
      </c>
      <c r="G891">
        <v>0</v>
      </c>
      <c r="H891">
        <v>0</v>
      </c>
      <c r="I891">
        <v>0</v>
      </c>
      <c r="J891">
        <v>0</v>
      </c>
      <c r="K891">
        <v>0</v>
      </c>
      <c r="L891">
        <v>0</v>
      </c>
      <c r="M891">
        <v>0</v>
      </c>
      <c r="N891">
        <v>0</v>
      </c>
    </row>
    <row r="892" spans="1:14" ht="12.75" x14ac:dyDescent="0.2">
      <c r="A892">
        <v>6952</v>
      </c>
      <c r="B892" s="342">
        <v>57200</v>
      </c>
      <c r="C892" t="s">
        <v>477</v>
      </c>
      <c r="D892">
        <v>17.39</v>
      </c>
      <c r="E892">
        <v>9411.9699999999993</v>
      </c>
      <c r="F892">
        <v>15000</v>
      </c>
      <c r="G892">
        <v>4461.93</v>
      </c>
      <c r="H892">
        <v>4461.93</v>
      </c>
      <c r="I892">
        <v>15000</v>
      </c>
      <c r="J892">
        <v>17.39</v>
      </c>
      <c r="K892">
        <v>9411.9699999999993</v>
      </c>
      <c r="L892">
        <v>4461.93</v>
      </c>
      <c r="M892">
        <v>4461.93</v>
      </c>
      <c r="N892">
        <v>0</v>
      </c>
    </row>
    <row r="893" spans="1:14" ht="12.75" x14ac:dyDescent="0.2">
      <c r="A893">
        <v>6952</v>
      </c>
      <c r="B893" s="342">
        <v>57260</v>
      </c>
      <c r="C893" t="s">
        <v>478</v>
      </c>
      <c r="D893">
        <v>5766.75</v>
      </c>
      <c r="E893">
        <v>34936.18</v>
      </c>
      <c r="F893">
        <v>17500</v>
      </c>
      <c r="G893">
        <v>10210.36</v>
      </c>
      <c r="H893">
        <v>10210.36</v>
      </c>
      <c r="I893">
        <v>17500</v>
      </c>
      <c r="J893">
        <v>5766.75</v>
      </c>
      <c r="K893">
        <v>34936.18</v>
      </c>
      <c r="L893">
        <v>10210.36</v>
      </c>
      <c r="M893">
        <v>10210.36</v>
      </c>
      <c r="N893">
        <v>0</v>
      </c>
    </row>
    <row r="894" spans="1:14" ht="12.75" x14ac:dyDescent="0.2">
      <c r="A894">
        <v>6952</v>
      </c>
      <c r="B894" s="342">
        <v>57270</v>
      </c>
      <c r="C894" t="s">
        <v>333</v>
      </c>
      <c r="D894">
        <v>491.58</v>
      </c>
      <c r="E894">
        <v>3129.27</v>
      </c>
      <c r="F894">
        <v>2500</v>
      </c>
      <c r="G894">
        <v>2445.7800000000002</v>
      </c>
      <c r="H894">
        <v>2445.7800000000002</v>
      </c>
      <c r="I894">
        <v>2500</v>
      </c>
      <c r="J894">
        <v>491.58</v>
      </c>
      <c r="K894">
        <v>3129.27</v>
      </c>
      <c r="L894">
        <v>2445.7800000000002</v>
      </c>
      <c r="M894">
        <v>2445.7800000000002</v>
      </c>
      <c r="N894">
        <v>0</v>
      </c>
    </row>
    <row r="895" spans="1:14" ht="12.75" x14ac:dyDescent="0.2">
      <c r="A895">
        <v>6952</v>
      </c>
      <c r="B895" s="342">
        <v>57299</v>
      </c>
      <c r="C895" t="s">
        <v>479</v>
      </c>
      <c r="D895">
        <v>3633.92</v>
      </c>
      <c r="E895">
        <v>7533.28</v>
      </c>
      <c r="F895">
        <v>2500</v>
      </c>
      <c r="G895">
        <v>628.96</v>
      </c>
      <c r="H895">
        <v>628.96</v>
      </c>
      <c r="I895">
        <v>2500</v>
      </c>
      <c r="J895">
        <v>3633.92</v>
      </c>
      <c r="K895">
        <v>7533.28</v>
      </c>
      <c r="L895">
        <v>628.96</v>
      </c>
      <c r="M895">
        <v>628.96</v>
      </c>
      <c r="N895">
        <v>0</v>
      </c>
    </row>
    <row r="896" spans="1:14" ht="12.75" x14ac:dyDescent="0.2">
      <c r="A896">
        <v>6952</v>
      </c>
      <c r="B896" s="342">
        <v>57320</v>
      </c>
      <c r="C896" t="s">
        <v>480</v>
      </c>
      <c r="D896">
        <v>1902.05</v>
      </c>
      <c r="E896">
        <v>25934.87</v>
      </c>
      <c r="F896">
        <v>25000</v>
      </c>
      <c r="G896">
        <v>15681.32</v>
      </c>
      <c r="H896">
        <v>15681.32</v>
      </c>
      <c r="I896">
        <v>25000</v>
      </c>
      <c r="J896">
        <v>1902.05</v>
      </c>
      <c r="K896">
        <v>25934.87</v>
      </c>
      <c r="L896">
        <v>15681.32</v>
      </c>
      <c r="M896">
        <v>15681.32</v>
      </c>
      <c r="N896">
        <v>0</v>
      </c>
    </row>
    <row r="897" spans="1:14" ht="12.75" x14ac:dyDescent="0.2">
      <c r="A897">
        <v>6952</v>
      </c>
      <c r="B897" s="342">
        <v>57340</v>
      </c>
      <c r="C897" t="s">
        <v>481</v>
      </c>
      <c r="D897">
        <v>10986.19</v>
      </c>
      <c r="E897">
        <v>136758.49</v>
      </c>
      <c r="F897">
        <v>131300</v>
      </c>
      <c r="G897">
        <v>103559.65</v>
      </c>
      <c r="H897">
        <v>103559.65</v>
      </c>
      <c r="I897">
        <v>131300</v>
      </c>
      <c r="J897">
        <v>10986.19</v>
      </c>
      <c r="K897">
        <v>136758.49</v>
      </c>
      <c r="L897">
        <v>103559.65</v>
      </c>
      <c r="M897">
        <v>103559.65</v>
      </c>
      <c r="N897">
        <v>0</v>
      </c>
    </row>
    <row r="898" spans="1:14" ht="12.75" x14ac:dyDescent="0.2">
      <c r="A898">
        <v>6952</v>
      </c>
      <c r="B898" s="342">
        <v>57360</v>
      </c>
      <c r="C898" t="s">
        <v>482</v>
      </c>
      <c r="D898">
        <v>2272.09</v>
      </c>
      <c r="E898">
        <v>40608.720000000001</v>
      </c>
      <c r="F898">
        <v>50000</v>
      </c>
      <c r="G898">
        <v>23159.93</v>
      </c>
      <c r="H898">
        <v>23159.93</v>
      </c>
      <c r="I898">
        <v>50000</v>
      </c>
      <c r="J898">
        <v>2272.09</v>
      </c>
      <c r="K898">
        <v>40608.720000000001</v>
      </c>
      <c r="L898">
        <v>23159.93</v>
      </c>
      <c r="M898">
        <v>23159.93</v>
      </c>
      <c r="N898">
        <v>0</v>
      </c>
    </row>
    <row r="899" spans="1:14" ht="12.75" x14ac:dyDescent="0.2">
      <c r="A899">
        <v>6952</v>
      </c>
      <c r="B899" s="342">
        <v>57420</v>
      </c>
      <c r="C899" t="s">
        <v>483</v>
      </c>
      <c r="D899">
        <v>21701.41</v>
      </c>
      <c r="E899">
        <v>196861.98</v>
      </c>
      <c r="F899">
        <v>181550</v>
      </c>
      <c r="G899">
        <v>160410.44</v>
      </c>
      <c r="H899">
        <v>160410.44</v>
      </c>
      <c r="I899">
        <v>181550</v>
      </c>
      <c r="J899">
        <v>21701.41</v>
      </c>
      <c r="K899">
        <v>196861.98</v>
      </c>
      <c r="L899">
        <v>183283.20000000001</v>
      </c>
      <c r="M899">
        <v>183283.20000000001</v>
      </c>
      <c r="N899">
        <v>0</v>
      </c>
    </row>
    <row r="900" spans="1:14" ht="12.75" x14ac:dyDescent="0.2">
      <c r="A900">
        <v>6952</v>
      </c>
      <c r="B900" s="342">
        <v>57485</v>
      </c>
      <c r="C900" t="s">
        <v>484</v>
      </c>
      <c r="D900">
        <v>0</v>
      </c>
      <c r="E900">
        <v>0</v>
      </c>
      <c r="F900">
        <v>1000</v>
      </c>
      <c r="G900">
        <v>0</v>
      </c>
      <c r="H900">
        <v>0</v>
      </c>
      <c r="I900">
        <v>1000</v>
      </c>
      <c r="J900">
        <v>0</v>
      </c>
      <c r="K900">
        <v>0</v>
      </c>
      <c r="L900">
        <v>0</v>
      </c>
      <c r="M900">
        <v>0</v>
      </c>
      <c r="N900">
        <v>0</v>
      </c>
    </row>
    <row r="901" spans="1:14" ht="12.75" x14ac:dyDescent="0.2">
      <c r="A901">
        <v>6952</v>
      </c>
      <c r="B901" s="342">
        <v>57487</v>
      </c>
      <c r="C901" t="s">
        <v>485</v>
      </c>
      <c r="D901">
        <v>0</v>
      </c>
      <c r="E901">
        <v>0</v>
      </c>
      <c r="F901">
        <v>400</v>
      </c>
      <c r="G901">
        <v>0</v>
      </c>
      <c r="H901">
        <v>0</v>
      </c>
      <c r="I901">
        <v>400</v>
      </c>
      <c r="J901">
        <v>0</v>
      </c>
      <c r="K901">
        <v>0</v>
      </c>
      <c r="L901">
        <v>0</v>
      </c>
      <c r="M901">
        <v>0</v>
      </c>
      <c r="N901">
        <v>0</v>
      </c>
    </row>
    <row r="902" spans="1:14" ht="12.75" x14ac:dyDescent="0.2">
      <c r="A902">
        <v>6952</v>
      </c>
      <c r="B902" s="342">
        <v>57600</v>
      </c>
      <c r="C902" t="s">
        <v>486</v>
      </c>
      <c r="D902">
        <v>0</v>
      </c>
      <c r="E902">
        <v>0</v>
      </c>
      <c r="F902">
        <v>0</v>
      </c>
      <c r="G902">
        <v>2025</v>
      </c>
      <c r="H902">
        <v>2025</v>
      </c>
      <c r="I902">
        <v>0</v>
      </c>
      <c r="J902">
        <v>0</v>
      </c>
      <c r="K902">
        <v>0</v>
      </c>
      <c r="L902">
        <v>2025</v>
      </c>
      <c r="M902">
        <v>2025</v>
      </c>
      <c r="N902">
        <v>0</v>
      </c>
    </row>
    <row r="903" spans="1:14" ht="12.75" x14ac:dyDescent="0.2">
      <c r="A903">
        <v>6952</v>
      </c>
      <c r="B903" s="342">
        <v>57605</v>
      </c>
      <c r="C903" t="s">
        <v>109</v>
      </c>
      <c r="D903">
        <v>9082.39</v>
      </c>
      <c r="E903">
        <v>30587.95</v>
      </c>
      <c r="F903">
        <v>34000</v>
      </c>
      <c r="G903">
        <v>32279.22</v>
      </c>
      <c r="H903">
        <v>32279.22</v>
      </c>
      <c r="I903">
        <v>34000</v>
      </c>
      <c r="J903">
        <v>9082.39</v>
      </c>
      <c r="K903">
        <v>30587.95</v>
      </c>
      <c r="L903">
        <v>32279.22</v>
      </c>
      <c r="M903">
        <v>32279.22</v>
      </c>
      <c r="N903">
        <v>0</v>
      </c>
    </row>
    <row r="904" spans="1:14" ht="12.75" x14ac:dyDescent="0.2">
      <c r="A904">
        <v>6952</v>
      </c>
      <c r="B904" s="342">
        <v>57610</v>
      </c>
      <c r="C904" t="s">
        <v>298</v>
      </c>
      <c r="D904">
        <v>5856.48</v>
      </c>
      <c r="E904">
        <v>32471</v>
      </c>
      <c r="F904">
        <v>23229</v>
      </c>
      <c r="G904">
        <v>28503</v>
      </c>
      <c r="H904">
        <v>28503</v>
      </c>
      <c r="I904">
        <v>23229</v>
      </c>
      <c r="J904">
        <v>5856.48</v>
      </c>
      <c r="K904">
        <v>32471</v>
      </c>
      <c r="L904">
        <v>67379</v>
      </c>
      <c r="M904">
        <v>67379</v>
      </c>
      <c r="N904">
        <v>0</v>
      </c>
    </row>
    <row r="905" spans="1:14" ht="12.75" x14ac:dyDescent="0.2">
      <c r="A905">
        <v>6952</v>
      </c>
      <c r="B905" s="342">
        <v>57615</v>
      </c>
      <c r="C905" t="s">
        <v>1489</v>
      </c>
      <c r="D905">
        <v>70071</v>
      </c>
      <c r="E905">
        <v>70071</v>
      </c>
      <c r="F905">
        <v>0</v>
      </c>
      <c r="G905">
        <v>26874.26</v>
      </c>
      <c r="H905">
        <v>26874.26</v>
      </c>
      <c r="I905">
        <v>0</v>
      </c>
      <c r="J905">
        <v>70071</v>
      </c>
      <c r="K905">
        <v>70071</v>
      </c>
      <c r="L905">
        <v>26874.26</v>
      </c>
      <c r="M905">
        <v>26874.26</v>
      </c>
      <c r="N905">
        <v>0</v>
      </c>
    </row>
    <row r="906" spans="1:14" ht="12.75" x14ac:dyDescent="0.2">
      <c r="A906">
        <v>6952</v>
      </c>
      <c r="B906" s="342">
        <v>57620</v>
      </c>
      <c r="C906" t="s">
        <v>487</v>
      </c>
      <c r="D906">
        <v>0</v>
      </c>
      <c r="E906">
        <v>0</v>
      </c>
      <c r="F906">
        <v>0</v>
      </c>
      <c r="G906">
        <v>0</v>
      </c>
      <c r="H906">
        <v>0</v>
      </c>
      <c r="I906">
        <v>0</v>
      </c>
      <c r="J906">
        <v>0</v>
      </c>
      <c r="K906">
        <v>0</v>
      </c>
      <c r="L906">
        <v>0</v>
      </c>
      <c r="M906">
        <v>0</v>
      </c>
      <c r="N906">
        <v>0</v>
      </c>
    </row>
    <row r="907" spans="1:14" ht="12.75" x14ac:dyDescent="0.2">
      <c r="A907">
        <v>6952</v>
      </c>
      <c r="B907" s="342">
        <v>57630</v>
      </c>
      <c r="C907" t="s">
        <v>619</v>
      </c>
      <c r="D907">
        <v>384.14</v>
      </c>
      <c r="E907">
        <v>7264.73</v>
      </c>
      <c r="F907">
        <v>8500</v>
      </c>
      <c r="G907">
        <v>7622.54</v>
      </c>
      <c r="H907">
        <v>7622.54</v>
      </c>
      <c r="I907">
        <v>8500</v>
      </c>
      <c r="J907">
        <v>384.14</v>
      </c>
      <c r="K907">
        <v>7564.73</v>
      </c>
      <c r="L907">
        <v>7622.54</v>
      </c>
      <c r="M907">
        <v>7622.54</v>
      </c>
      <c r="N907">
        <v>0</v>
      </c>
    </row>
    <row r="908" spans="1:14" ht="12.75" x14ac:dyDescent="0.2">
      <c r="A908">
        <v>6952</v>
      </c>
      <c r="B908" s="342">
        <v>57660</v>
      </c>
      <c r="C908" t="s">
        <v>488</v>
      </c>
      <c r="D908">
        <v>57000</v>
      </c>
      <c r="E908">
        <v>151380.92000000001</v>
      </c>
      <c r="F908">
        <v>210000</v>
      </c>
      <c r="G908">
        <v>43712.959999999999</v>
      </c>
      <c r="H908">
        <v>43712.959999999999</v>
      </c>
      <c r="I908">
        <v>210000</v>
      </c>
      <c r="J908">
        <v>57000</v>
      </c>
      <c r="K908">
        <v>151732.22</v>
      </c>
      <c r="L908">
        <v>43712.959999999999</v>
      </c>
      <c r="M908">
        <v>43712.959999999999</v>
      </c>
      <c r="N908">
        <v>0</v>
      </c>
    </row>
    <row r="909" spans="1:14" ht="12.75" x14ac:dyDescent="0.2">
      <c r="A909">
        <v>6952</v>
      </c>
      <c r="B909" s="342">
        <v>57665</v>
      </c>
      <c r="C909" t="s">
        <v>959</v>
      </c>
      <c r="D909">
        <v>325.85000000000002</v>
      </c>
      <c r="E909">
        <v>3962.06</v>
      </c>
      <c r="F909">
        <v>6000</v>
      </c>
      <c r="G909">
        <v>7761.6</v>
      </c>
      <c r="H909">
        <v>7761.6</v>
      </c>
      <c r="I909">
        <v>6000</v>
      </c>
      <c r="J909">
        <v>325.85000000000002</v>
      </c>
      <c r="K909">
        <v>3962.06</v>
      </c>
      <c r="L909">
        <v>7761.6</v>
      </c>
      <c r="M909">
        <v>7761.6</v>
      </c>
      <c r="N909">
        <v>0</v>
      </c>
    </row>
    <row r="910" spans="1:14" ht="12.75" x14ac:dyDescent="0.2">
      <c r="A910">
        <v>6952</v>
      </c>
      <c r="B910" s="342">
        <v>57690</v>
      </c>
      <c r="C910" t="s">
        <v>891</v>
      </c>
      <c r="D910">
        <v>0</v>
      </c>
      <c r="E910">
        <v>22465.89</v>
      </c>
      <c r="F910">
        <v>18735</v>
      </c>
      <c r="G910">
        <v>6843.89</v>
      </c>
      <c r="H910">
        <v>6843.89</v>
      </c>
      <c r="I910">
        <v>18735</v>
      </c>
      <c r="J910">
        <v>0</v>
      </c>
      <c r="K910">
        <v>22465.89</v>
      </c>
      <c r="L910">
        <v>6843.89</v>
      </c>
      <c r="M910">
        <v>6843.89</v>
      </c>
      <c r="N910">
        <v>0</v>
      </c>
    </row>
    <row r="911" spans="1:14" ht="12.75" x14ac:dyDescent="0.2">
      <c r="A911">
        <v>6952</v>
      </c>
      <c r="B911" s="342">
        <v>57710</v>
      </c>
      <c r="C911" t="s">
        <v>489</v>
      </c>
      <c r="D911">
        <v>0</v>
      </c>
      <c r="E911">
        <v>3942.94</v>
      </c>
      <c r="F911">
        <v>3500</v>
      </c>
      <c r="G911">
        <v>2518.9499999999998</v>
      </c>
      <c r="H911">
        <v>2518.9499999999998</v>
      </c>
      <c r="I911">
        <v>3500</v>
      </c>
      <c r="J911">
        <v>0</v>
      </c>
      <c r="K911">
        <v>3942.94</v>
      </c>
      <c r="L911">
        <v>2518.9499999999998</v>
      </c>
      <c r="M911">
        <v>2518.9499999999998</v>
      </c>
      <c r="N911">
        <v>0</v>
      </c>
    </row>
    <row r="912" spans="1:14" ht="12.75" x14ac:dyDescent="0.2">
      <c r="A912">
        <v>6952</v>
      </c>
      <c r="B912" s="342">
        <v>57740</v>
      </c>
      <c r="C912" t="s">
        <v>808</v>
      </c>
      <c r="D912">
        <v>2545.66</v>
      </c>
      <c r="E912">
        <v>12178.96</v>
      </c>
      <c r="F912">
        <v>9500</v>
      </c>
      <c r="G912">
        <v>10512.87</v>
      </c>
      <c r="H912">
        <v>10512.87</v>
      </c>
      <c r="I912">
        <v>9500</v>
      </c>
      <c r="J912">
        <v>2545.66</v>
      </c>
      <c r="K912">
        <v>12178.96</v>
      </c>
      <c r="L912">
        <v>10512.87</v>
      </c>
      <c r="M912">
        <v>10512.87</v>
      </c>
      <c r="N912">
        <v>0</v>
      </c>
    </row>
    <row r="913" spans="1:14" ht="12.75" x14ac:dyDescent="0.2">
      <c r="A913">
        <v>6952</v>
      </c>
      <c r="B913" s="342">
        <v>57760</v>
      </c>
      <c r="C913" t="s">
        <v>490</v>
      </c>
      <c r="D913">
        <v>0</v>
      </c>
      <c r="E913">
        <v>0</v>
      </c>
      <c r="F913">
        <v>0</v>
      </c>
      <c r="G913">
        <v>0</v>
      </c>
      <c r="H913">
        <v>0</v>
      </c>
      <c r="I913">
        <v>0</v>
      </c>
      <c r="J913">
        <v>0</v>
      </c>
      <c r="K913">
        <v>0</v>
      </c>
      <c r="L913">
        <v>0</v>
      </c>
      <c r="M913">
        <v>0</v>
      </c>
      <c r="N913">
        <v>0</v>
      </c>
    </row>
    <row r="914" spans="1:14" ht="12.75" x14ac:dyDescent="0.2">
      <c r="A914">
        <v>6952</v>
      </c>
      <c r="B914" s="342">
        <v>57850</v>
      </c>
      <c r="C914" t="s">
        <v>491</v>
      </c>
      <c r="D914">
        <v>0</v>
      </c>
      <c r="E914">
        <v>0</v>
      </c>
      <c r="F914">
        <v>0</v>
      </c>
      <c r="G914">
        <v>0</v>
      </c>
      <c r="H914">
        <v>0</v>
      </c>
      <c r="I914">
        <v>0</v>
      </c>
      <c r="J914">
        <v>0</v>
      </c>
      <c r="K914">
        <v>0</v>
      </c>
      <c r="L914">
        <v>0</v>
      </c>
      <c r="M914">
        <v>0</v>
      </c>
      <c r="N914">
        <v>0</v>
      </c>
    </row>
    <row r="915" spans="1:14" ht="12.75" x14ac:dyDescent="0.2">
      <c r="A915">
        <v>6952</v>
      </c>
      <c r="B915" s="342">
        <v>58000</v>
      </c>
      <c r="C915" t="s">
        <v>354</v>
      </c>
      <c r="D915">
        <v>1020.11</v>
      </c>
      <c r="E915">
        <v>4503.7700000000004</v>
      </c>
      <c r="F915">
        <v>500</v>
      </c>
      <c r="G915">
        <v>1932.53</v>
      </c>
      <c r="H915">
        <v>1932.53</v>
      </c>
      <c r="I915">
        <v>500</v>
      </c>
      <c r="J915">
        <v>1020.11</v>
      </c>
      <c r="K915">
        <v>4503.7700000000004</v>
      </c>
      <c r="L915">
        <v>1932.53</v>
      </c>
      <c r="M915">
        <v>1932.53</v>
      </c>
      <c r="N915">
        <v>0</v>
      </c>
    </row>
    <row r="916" spans="1:14" ht="12.75" x14ac:dyDescent="0.2">
      <c r="A916">
        <v>6952</v>
      </c>
      <c r="B916" s="342">
        <v>58020</v>
      </c>
      <c r="C916" t="s">
        <v>796</v>
      </c>
      <c r="D916">
        <v>994.77</v>
      </c>
      <c r="E916">
        <v>11862.84</v>
      </c>
      <c r="F916">
        <v>8500</v>
      </c>
      <c r="G916">
        <v>11090.45</v>
      </c>
      <c r="H916">
        <v>11090.45</v>
      </c>
      <c r="I916">
        <v>8500</v>
      </c>
      <c r="J916">
        <v>994.77</v>
      </c>
      <c r="K916">
        <v>11862.84</v>
      </c>
      <c r="L916">
        <v>11090.45</v>
      </c>
      <c r="M916">
        <v>11090.45</v>
      </c>
      <c r="N916">
        <v>0</v>
      </c>
    </row>
    <row r="917" spans="1:14" ht="12.75" x14ac:dyDescent="0.2">
      <c r="A917">
        <v>6952</v>
      </c>
      <c r="B917" s="342">
        <v>60000</v>
      </c>
      <c r="C917" t="s">
        <v>492</v>
      </c>
      <c r="D917">
        <v>196226.23</v>
      </c>
      <c r="E917">
        <v>1019405.8</v>
      </c>
      <c r="F917">
        <v>1005151</v>
      </c>
      <c r="G917">
        <v>887865.12</v>
      </c>
      <c r="H917">
        <v>887865.12</v>
      </c>
      <c r="I917">
        <v>1005151</v>
      </c>
      <c r="J917">
        <v>196226.23</v>
      </c>
      <c r="K917">
        <v>1044436.49</v>
      </c>
      <c r="L917">
        <v>893375.8</v>
      </c>
      <c r="M917">
        <v>893375.8</v>
      </c>
      <c r="N917">
        <v>0</v>
      </c>
    </row>
    <row r="918" spans="1:14" ht="12.75" x14ac:dyDescent="0.2">
      <c r="A918">
        <v>6952</v>
      </c>
      <c r="B918" s="342">
        <v>60100</v>
      </c>
      <c r="C918" t="s">
        <v>493</v>
      </c>
      <c r="D918">
        <v>0</v>
      </c>
      <c r="E918">
        <v>0</v>
      </c>
      <c r="F918">
        <v>0</v>
      </c>
      <c r="G918">
        <v>0</v>
      </c>
      <c r="H918">
        <v>0</v>
      </c>
      <c r="I918">
        <v>0</v>
      </c>
      <c r="J918">
        <v>0</v>
      </c>
      <c r="K918">
        <v>0</v>
      </c>
      <c r="L918">
        <v>0</v>
      </c>
      <c r="M918">
        <v>0</v>
      </c>
      <c r="N918">
        <v>0</v>
      </c>
    </row>
    <row r="919" spans="1:14" ht="12.75" x14ac:dyDescent="0.2">
      <c r="A919">
        <v>6952</v>
      </c>
      <c r="B919" s="342">
        <v>60200</v>
      </c>
      <c r="C919" t="s">
        <v>110</v>
      </c>
      <c r="D919">
        <v>450</v>
      </c>
      <c r="E919">
        <v>13207.81</v>
      </c>
      <c r="F919">
        <v>20000</v>
      </c>
      <c r="G919">
        <v>1773.04</v>
      </c>
      <c r="H919">
        <v>1773.04</v>
      </c>
      <c r="I919">
        <v>20000</v>
      </c>
      <c r="J919">
        <v>450</v>
      </c>
      <c r="K919">
        <v>13207.81</v>
      </c>
      <c r="L919">
        <v>1773.04</v>
      </c>
      <c r="M919">
        <v>1773.04</v>
      </c>
      <c r="N919">
        <v>0</v>
      </c>
    </row>
    <row r="920" spans="1:14" ht="12.75" x14ac:dyDescent="0.2">
      <c r="A920">
        <v>6952</v>
      </c>
      <c r="B920" s="342">
        <v>60210</v>
      </c>
      <c r="C920" t="s">
        <v>960</v>
      </c>
      <c r="D920">
        <v>0</v>
      </c>
      <c r="E920">
        <v>0</v>
      </c>
      <c r="F920">
        <v>0</v>
      </c>
      <c r="G920">
        <v>0</v>
      </c>
      <c r="H920">
        <v>0</v>
      </c>
      <c r="I920">
        <v>0</v>
      </c>
      <c r="J920">
        <v>0</v>
      </c>
      <c r="K920">
        <v>0</v>
      </c>
      <c r="L920">
        <v>0</v>
      </c>
      <c r="M920">
        <v>0</v>
      </c>
      <c r="N920">
        <v>0</v>
      </c>
    </row>
    <row r="921" spans="1:14" ht="12.75" x14ac:dyDescent="0.2">
      <c r="A921">
        <v>6952</v>
      </c>
      <c r="B921" s="342">
        <v>60220</v>
      </c>
      <c r="C921" t="s">
        <v>111</v>
      </c>
      <c r="D921">
        <v>0</v>
      </c>
      <c r="E921">
        <v>0</v>
      </c>
      <c r="F921">
        <v>0</v>
      </c>
      <c r="G921">
        <v>0</v>
      </c>
      <c r="H921">
        <v>0</v>
      </c>
      <c r="I921">
        <v>0</v>
      </c>
      <c r="J921">
        <v>0</v>
      </c>
      <c r="K921">
        <v>0</v>
      </c>
      <c r="L921">
        <v>0</v>
      </c>
      <c r="M921">
        <v>0</v>
      </c>
      <c r="N921">
        <v>0</v>
      </c>
    </row>
    <row r="922" spans="1:14" ht="12.75" x14ac:dyDescent="0.2">
      <c r="A922">
        <v>6952</v>
      </c>
      <c r="B922" s="342">
        <v>60230</v>
      </c>
      <c r="C922" t="s">
        <v>494</v>
      </c>
      <c r="D922">
        <v>0</v>
      </c>
      <c r="E922">
        <v>0</v>
      </c>
      <c r="F922">
        <v>0</v>
      </c>
      <c r="G922">
        <v>0</v>
      </c>
      <c r="H922">
        <v>0</v>
      </c>
      <c r="I922">
        <v>0</v>
      </c>
      <c r="J922">
        <v>0</v>
      </c>
      <c r="K922">
        <v>0</v>
      </c>
      <c r="L922">
        <v>0</v>
      </c>
      <c r="M922">
        <v>0</v>
      </c>
      <c r="N922">
        <v>0</v>
      </c>
    </row>
    <row r="923" spans="1:14" ht="12.75" x14ac:dyDescent="0.2">
      <c r="A923">
        <v>6952</v>
      </c>
      <c r="B923" s="342">
        <v>60250</v>
      </c>
      <c r="C923" t="s">
        <v>495</v>
      </c>
      <c r="D923">
        <v>7367.07</v>
      </c>
      <c r="E923">
        <v>47721.84</v>
      </c>
      <c r="F923">
        <v>44418</v>
      </c>
      <c r="G923">
        <v>40819.21</v>
      </c>
      <c r="H923">
        <v>40819.21</v>
      </c>
      <c r="I923">
        <v>44418</v>
      </c>
      <c r="J923">
        <v>7367.07</v>
      </c>
      <c r="K923">
        <v>47721.84</v>
      </c>
      <c r="L923">
        <v>40819.21</v>
      </c>
      <c r="M923">
        <v>40819.21</v>
      </c>
      <c r="N923">
        <v>0</v>
      </c>
    </row>
    <row r="924" spans="1:14" ht="12.75" x14ac:dyDescent="0.2">
      <c r="A924">
        <v>6952</v>
      </c>
      <c r="B924" s="342">
        <v>60255</v>
      </c>
      <c r="C924" t="s">
        <v>1024</v>
      </c>
      <c r="D924">
        <v>0</v>
      </c>
      <c r="E924">
        <v>1295.05</v>
      </c>
      <c r="F924">
        <v>6000</v>
      </c>
      <c r="G924">
        <v>0</v>
      </c>
      <c r="H924">
        <v>0</v>
      </c>
      <c r="I924">
        <v>6000</v>
      </c>
      <c r="J924">
        <v>0</v>
      </c>
      <c r="K924">
        <v>1295.05</v>
      </c>
      <c r="L924">
        <v>0</v>
      </c>
      <c r="M924">
        <v>0</v>
      </c>
      <c r="N924">
        <v>0</v>
      </c>
    </row>
    <row r="925" spans="1:14" ht="12.75" x14ac:dyDescent="0.2">
      <c r="A925">
        <v>6952</v>
      </c>
      <c r="B925" s="342">
        <v>60300</v>
      </c>
      <c r="C925" t="s">
        <v>812</v>
      </c>
      <c r="D925">
        <v>0</v>
      </c>
      <c r="E925">
        <v>2813</v>
      </c>
      <c r="F925">
        <v>2813</v>
      </c>
      <c r="G925">
        <v>2182.61</v>
      </c>
      <c r="H925">
        <v>2182.61</v>
      </c>
      <c r="I925">
        <v>2813</v>
      </c>
      <c r="J925">
        <v>0</v>
      </c>
      <c r="K925">
        <v>2813</v>
      </c>
      <c r="L925">
        <v>2182.61</v>
      </c>
      <c r="M925">
        <v>2182.61</v>
      </c>
      <c r="N925">
        <v>0</v>
      </c>
    </row>
    <row r="926" spans="1:14" ht="12.75" x14ac:dyDescent="0.2">
      <c r="A926">
        <v>6952</v>
      </c>
      <c r="B926" s="342">
        <v>60400</v>
      </c>
      <c r="C926" t="s">
        <v>370</v>
      </c>
      <c r="D926">
        <v>1377.24</v>
      </c>
      <c r="E926">
        <v>7159.63</v>
      </c>
      <c r="F926">
        <v>7500</v>
      </c>
      <c r="G926">
        <v>7224.5</v>
      </c>
      <c r="H926">
        <v>7224.5</v>
      </c>
      <c r="I926">
        <v>7500</v>
      </c>
      <c r="J926">
        <v>1377.24</v>
      </c>
      <c r="K926">
        <v>7159.63</v>
      </c>
      <c r="L926">
        <v>7224.5</v>
      </c>
      <c r="M926">
        <v>7224.5</v>
      </c>
      <c r="N926">
        <v>0</v>
      </c>
    </row>
    <row r="927" spans="1:14" ht="12.75" x14ac:dyDescent="0.2">
      <c r="A927">
        <v>6952</v>
      </c>
      <c r="B927" s="342">
        <v>60450</v>
      </c>
      <c r="C927" t="s">
        <v>313</v>
      </c>
      <c r="D927">
        <v>60.75</v>
      </c>
      <c r="E927">
        <v>111.9</v>
      </c>
      <c r="F927">
        <v>500</v>
      </c>
      <c r="G927">
        <v>292.10000000000002</v>
      </c>
      <c r="H927">
        <v>292.10000000000002</v>
      </c>
      <c r="I927">
        <v>500</v>
      </c>
      <c r="J927">
        <v>60.75</v>
      </c>
      <c r="K927">
        <v>111.9</v>
      </c>
      <c r="L927">
        <v>292.10000000000002</v>
      </c>
      <c r="M927">
        <v>292.10000000000002</v>
      </c>
      <c r="N927">
        <v>0</v>
      </c>
    </row>
    <row r="928" spans="1:14" ht="12.75" x14ac:dyDescent="0.2">
      <c r="A928">
        <v>6952</v>
      </c>
      <c r="B928" s="342">
        <v>60500</v>
      </c>
      <c r="C928" t="s">
        <v>359</v>
      </c>
      <c r="D928">
        <v>18.260000000000002</v>
      </c>
      <c r="E928">
        <v>18.260000000000002</v>
      </c>
      <c r="F928">
        <v>600</v>
      </c>
      <c r="G928">
        <v>169.08</v>
      </c>
      <c r="H928">
        <v>169.08</v>
      </c>
      <c r="I928">
        <v>600</v>
      </c>
      <c r="J928">
        <v>18.260000000000002</v>
      </c>
      <c r="K928">
        <v>18.260000000000002</v>
      </c>
      <c r="L928">
        <v>169.08</v>
      </c>
      <c r="M928">
        <v>169.08</v>
      </c>
      <c r="N928">
        <v>0</v>
      </c>
    </row>
    <row r="929" spans="1:14" ht="12.75" x14ac:dyDescent="0.2">
      <c r="A929">
        <v>6952</v>
      </c>
      <c r="B929" s="342">
        <v>60550</v>
      </c>
      <c r="C929" t="s">
        <v>619</v>
      </c>
      <c r="D929">
        <v>38.26</v>
      </c>
      <c r="E929">
        <v>-314.02</v>
      </c>
      <c r="F929">
        <v>12000</v>
      </c>
      <c r="G929">
        <v>6943</v>
      </c>
      <c r="H929">
        <v>6943</v>
      </c>
      <c r="I929">
        <v>12000</v>
      </c>
      <c r="J929">
        <v>38.26</v>
      </c>
      <c r="K929">
        <v>3952.07</v>
      </c>
      <c r="L929">
        <v>6943</v>
      </c>
      <c r="M929">
        <v>6943</v>
      </c>
      <c r="N929">
        <v>0</v>
      </c>
    </row>
    <row r="930" spans="1:14" ht="12.75" x14ac:dyDescent="0.2">
      <c r="A930">
        <v>6952</v>
      </c>
      <c r="B930" s="342">
        <v>60551</v>
      </c>
      <c r="C930" t="s">
        <v>1052</v>
      </c>
      <c r="D930">
        <v>0</v>
      </c>
      <c r="E930">
        <v>0</v>
      </c>
      <c r="F930">
        <v>1500</v>
      </c>
      <c r="G930">
        <v>2085.27</v>
      </c>
      <c r="H930">
        <v>2085.27</v>
      </c>
      <c r="I930">
        <v>1500</v>
      </c>
      <c r="J930">
        <v>0</v>
      </c>
      <c r="K930">
        <v>0</v>
      </c>
      <c r="L930">
        <v>2085.27</v>
      </c>
      <c r="M930">
        <v>2085.27</v>
      </c>
      <c r="N930">
        <v>0</v>
      </c>
    </row>
    <row r="931" spans="1:14" ht="12.75" x14ac:dyDescent="0.2">
      <c r="A931">
        <v>6952</v>
      </c>
      <c r="B931" s="342">
        <v>60600</v>
      </c>
      <c r="C931" t="s">
        <v>371</v>
      </c>
      <c r="D931">
        <v>0</v>
      </c>
      <c r="E931">
        <v>251.27</v>
      </c>
      <c r="F931">
        <v>750</v>
      </c>
      <c r="G931">
        <v>417.57</v>
      </c>
      <c r="H931">
        <v>417.57</v>
      </c>
      <c r="I931">
        <v>750</v>
      </c>
      <c r="J931">
        <v>0</v>
      </c>
      <c r="K931">
        <v>251.27</v>
      </c>
      <c r="L931">
        <v>417.57</v>
      </c>
      <c r="M931">
        <v>417.57</v>
      </c>
      <c r="N931">
        <v>0</v>
      </c>
    </row>
    <row r="932" spans="1:14" ht="12.75" x14ac:dyDescent="0.2">
      <c r="A932">
        <v>6952</v>
      </c>
      <c r="B932" s="342">
        <v>60700</v>
      </c>
      <c r="C932" t="s">
        <v>372</v>
      </c>
      <c r="D932">
        <v>689.13</v>
      </c>
      <c r="E932">
        <v>7512.1</v>
      </c>
      <c r="F932">
        <v>10200</v>
      </c>
      <c r="G932">
        <v>4382.47</v>
      </c>
      <c r="H932">
        <v>4382.47</v>
      </c>
      <c r="I932">
        <v>10200</v>
      </c>
      <c r="J932">
        <v>689.13</v>
      </c>
      <c r="K932">
        <v>7512.1</v>
      </c>
      <c r="L932">
        <v>4382.47</v>
      </c>
      <c r="M932">
        <v>4382.47</v>
      </c>
      <c r="N932">
        <v>0</v>
      </c>
    </row>
    <row r="933" spans="1:14" ht="12.75" x14ac:dyDescent="0.2">
      <c r="A933">
        <v>6952</v>
      </c>
      <c r="B933" s="342">
        <v>60750</v>
      </c>
      <c r="C933" t="s">
        <v>892</v>
      </c>
      <c r="D933">
        <v>1149.8399999999999</v>
      </c>
      <c r="E933">
        <v>3917.88</v>
      </c>
      <c r="F933">
        <v>4000</v>
      </c>
      <c r="G933">
        <v>2274.9299999999998</v>
      </c>
      <c r="H933">
        <v>2274.9299999999998</v>
      </c>
      <c r="I933">
        <v>4000</v>
      </c>
      <c r="J933">
        <v>1149.8399999999999</v>
      </c>
      <c r="K933">
        <v>3917.88</v>
      </c>
      <c r="L933">
        <v>2274.9299999999998</v>
      </c>
      <c r="M933">
        <v>2274.9299999999998</v>
      </c>
      <c r="N933">
        <v>0</v>
      </c>
    </row>
    <row r="934" spans="1:14" ht="12.75" x14ac:dyDescent="0.2">
      <c r="A934">
        <v>6952</v>
      </c>
      <c r="B934" s="342">
        <v>60800</v>
      </c>
      <c r="C934" t="s">
        <v>496</v>
      </c>
      <c r="D934">
        <v>1634.67</v>
      </c>
      <c r="E934">
        <v>2227.8000000000002</v>
      </c>
      <c r="F934">
        <v>7000</v>
      </c>
      <c r="G934">
        <v>10118.36</v>
      </c>
      <c r="H934">
        <v>10118.36</v>
      </c>
      <c r="I934">
        <v>7000</v>
      </c>
      <c r="J934">
        <v>1634.67</v>
      </c>
      <c r="K934">
        <v>2227.8000000000002</v>
      </c>
      <c r="L934">
        <v>10118.36</v>
      </c>
      <c r="M934">
        <v>10118.36</v>
      </c>
      <c r="N934">
        <v>0</v>
      </c>
    </row>
    <row r="935" spans="1:14" ht="12.75" x14ac:dyDescent="0.2">
      <c r="A935">
        <v>6952</v>
      </c>
      <c r="B935" s="342">
        <v>60805</v>
      </c>
      <c r="C935" t="s">
        <v>497</v>
      </c>
      <c r="D935">
        <v>385.38</v>
      </c>
      <c r="E935">
        <v>6326.64</v>
      </c>
      <c r="F935">
        <v>2500</v>
      </c>
      <c r="G935">
        <v>2047.61</v>
      </c>
      <c r="H935">
        <v>2047.61</v>
      </c>
      <c r="I935">
        <v>2500</v>
      </c>
      <c r="J935">
        <v>385.38</v>
      </c>
      <c r="K935">
        <v>6326.64</v>
      </c>
      <c r="L935">
        <v>2047.61</v>
      </c>
      <c r="M935">
        <v>2047.61</v>
      </c>
      <c r="N935">
        <v>0</v>
      </c>
    </row>
    <row r="936" spans="1:14" ht="12.75" x14ac:dyDescent="0.2">
      <c r="A936">
        <v>6952</v>
      </c>
      <c r="B936" s="342">
        <v>60810</v>
      </c>
      <c r="C936" t="s">
        <v>498</v>
      </c>
      <c r="D936">
        <v>705.11</v>
      </c>
      <c r="E936">
        <v>7456.69</v>
      </c>
      <c r="F936">
        <v>5000</v>
      </c>
      <c r="G936">
        <v>3348.16</v>
      </c>
      <c r="H936">
        <v>3348.16</v>
      </c>
      <c r="I936">
        <v>5000</v>
      </c>
      <c r="J936">
        <v>705.11</v>
      </c>
      <c r="K936">
        <v>7456.69</v>
      </c>
      <c r="L936">
        <v>3348.16</v>
      </c>
      <c r="M936">
        <v>3348.16</v>
      </c>
      <c r="N936">
        <v>0</v>
      </c>
    </row>
    <row r="937" spans="1:14" ht="12.75" x14ac:dyDescent="0.2">
      <c r="A937">
        <v>6952</v>
      </c>
      <c r="B937" s="342">
        <v>60815</v>
      </c>
      <c r="C937" t="s">
        <v>499</v>
      </c>
      <c r="D937">
        <v>1196.08</v>
      </c>
      <c r="E937">
        <v>4892.28</v>
      </c>
      <c r="F937">
        <v>5000</v>
      </c>
      <c r="G937">
        <v>834.37</v>
      </c>
      <c r="H937">
        <v>834.37</v>
      </c>
      <c r="I937">
        <v>5000</v>
      </c>
      <c r="J937">
        <v>1196.08</v>
      </c>
      <c r="K937">
        <v>4892.28</v>
      </c>
      <c r="L937">
        <v>834.37</v>
      </c>
      <c r="M937">
        <v>834.37</v>
      </c>
      <c r="N937">
        <v>0</v>
      </c>
    </row>
    <row r="938" spans="1:14" ht="12.75" x14ac:dyDescent="0.2">
      <c r="A938">
        <v>6952</v>
      </c>
      <c r="B938" s="342">
        <v>60820</v>
      </c>
      <c r="C938" t="s">
        <v>500</v>
      </c>
      <c r="D938">
        <v>2577.44</v>
      </c>
      <c r="E938">
        <v>12050.33</v>
      </c>
      <c r="F938">
        <v>5500</v>
      </c>
      <c r="G938">
        <v>6167.11</v>
      </c>
      <c r="H938">
        <v>6167.11</v>
      </c>
      <c r="I938">
        <v>5500</v>
      </c>
      <c r="J938">
        <v>2577.44</v>
      </c>
      <c r="K938">
        <v>12156.4</v>
      </c>
      <c r="L938">
        <v>6167.11</v>
      </c>
      <c r="M938">
        <v>6167.11</v>
      </c>
      <c r="N938">
        <v>0</v>
      </c>
    </row>
    <row r="939" spans="1:14" ht="12.75" x14ac:dyDescent="0.2">
      <c r="A939">
        <v>6952</v>
      </c>
      <c r="B939" s="342">
        <v>60825</v>
      </c>
      <c r="C939" t="s">
        <v>501</v>
      </c>
      <c r="D939">
        <v>0</v>
      </c>
      <c r="E939">
        <v>10500</v>
      </c>
      <c r="F939">
        <v>10500</v>
      </c>
      <c r="G939">
        <v>11000</v>
      </c>
      <c r="H939">
        <v>11000</v>
      </c>
      <c r="I939">
        <v>10500</v>
      </c>
      <c r="J939">
        <v>0</v>
      </c>
      <c r="K939">
        <v>10500</v>
      </c>
      <c r="L939">
        <v>11000</v>
      </c>
      <c r="M939">
        <v>11000</v>
      </c>
      <c r="N939">
        <v>0</v>
      </c>
    </row>
    <row r="940" spans="1:14" ht="12.75" x14ac:dyDescent="0.2">
      <c r="A940">
        <v>6952</v>
      </c>
      <c r="B940" s="342">
        <v>60826</v>
      </c>
      <c r="C940" t="s">
        <v>337</v>
      </c>
      <c r="D940">
        <v>0</v>
      </c>
      <c r="E940">
        <v>3214.32</v>
      </c>
      <c r="F940">
        <v>3100</v>
      </c>
      <c r="G940">
        <v>3109</v>
      </c>
      <c r="H940">
        <v>3109</v>
      </c>
      <c r="I940">
        <v>3100</v>
      </c>
      <c r="J940">
        <v>0</v>
      </c>
      <c r="K940">
        <v>3214.32</v>
      </c>
      <c r="L940">
        <v>3109</v>
      </c>
      <c r="M940">
        <v>3109</v>
      </c>
      <c r="N940">
        <v>0</v>
      </c>
    </row>
    <row r="941" spans="1:14" ht="12.75" x14ac:dyDescent="0.2">
      <c r="A941">
        <v>6952</v>
      </c>
      <c r="B941" s="342">
        <v>60830</v>
      </c>
      <c r="C941" t="s">
        <v>333</v>
      </c>
      <c r="D941">
        <v>0</v>
      </c>
      <c r="E941">
        <v>2000</v>
      </c>
      <c r="F941">
        <v>2000</v>
      </c>
      <c r="G941">
        <v>2000</v>
      </c>
      <c r="H941">
        <v>2000</v>
      </c>
      <c r="I941">
        <v>2000</v>
      </c>
      <c r="J941">
        <v>0</v>
      </c>
      <c r="K941">
        <v>2000</v>
      </c>
      <c r="L941">
        <v>2000</v>
      </c>
      <c r="M941">
        <v>2000</v>
      </c>
      <c r="N941">
        <v>0</v>
      </c>
    </row>
    <row r="942" spans="1:14" ht="12.75" x14ac:dyDescent="0.2">
      <c r="A942">
        <v>6952</v>
      </c>
      <c r="B942" s="342">
        <v>60850</v>
      </c>
      <c r="C942" t="s">
        <v>502</v>
      </c>
      <c r="D942">
        <v>0</v>
      </c>
      <c r="E942">
        <v>0</v>
      </c>
      <c r="F942">
        <v>0</v>
      </c>
      <c r="G942">
        <v>0</v>
      </c>
      <c r="H942">
        <v>0</v>
      </c>
      <c r="I942">
        <v>0</v>
      </c>
      <c r="J942">
        <v>0</v>
      </c>
      <c r="K942">
        <v>0</v>
      </c>
      <c r="L942">
        <v>0</v>
      </c>
      <c r="M942">
        <v>0</v>
      </c>
      <c r="N942">
        <v>0</v>
      </c>
    </row>
    <row r="943" spans="1:14" ht="12.75" x14ac:dyDescent="0.2">
      <c r="A943">
        <v>6952</v>
      </c>
      <c r="B943" s="342">
        <v>60851</v>
      </c>
      <c r="C943" t="s">
        <v>503</v>
      </c>
      <c r="D943">
        <v>0</v>
      </c>
      <c r="E943">
        <v>0</v>
      </c>
      <c r="F943">
        <v>0</v>
      </c>
      <c r="G943">
        <v>0</v>
      </c>
      <c r="H943">
        <v>0</v>
      </c>
      <c r="I943">
        <v>0</v>
      </c>
      <c r="J943">
        <v>0</v>
      </c>
      <c r="K943">
        <v>0</v>
      </c>
      <c r="L943">
        <v>0</v>
      </c>
      <c r="M943">
        <v>0</v>
      </c>
      <c r="N943">
        <v>0</v>
      </c>
    </row>
    <row r="944" spans="1:14" ht="12.75" x14ac:dyDescent="0.2">
      <c r="A944">
        <v>6952</v>
      </c>
      <c r="B944" s="342">
        <v>60855</v>
      </c>
      <c r="C944" t="s">
        <v>504</v>
      </c>
      <c r="D944">
        <v>0</v>
      </c>
      <c r="E944">
        <v>0</v>
      </c>
      <c r="F944">
        <v>0</v>
      </c>
      <c r="G944">
        <v>0</v>
      </c>
      <c r="H944">
        <v>0</v>
      </c>
      <c r="I944">
        <v>0</v>
      </c>
      <c r="J944">
        <v>0</v>
      </c>
      <c r="K944">
        <v>0</v>
      </c>
      <c r="L944">
        <v>0</v>
      </c>
      <c r="M944">
        <v>0</v>
      </c>
      <c r="N944">
        <v>0</v>
      </c>
    </row>
    <row r="945" spans="1:14" ht="12.75" x14ac:dyDescent="0.2">
      <c r="A945">
        <v>6952</v>
      </c>
      <c r="B945" s="342">
        <v>60860</v>
      </c>
      <c r="C945" t="s">
        <v>505</v>
      </c>
      <c r="D945">
        <v>0</v>
      </c>
      <c r="E945">
        <v>0</v>
      </c>
      <c r="F945">
        <v>0</v>
      </c>
      <c r="G945">
        <v>0</v>
      </c>
      <c r="H945">
        <v>0</v>
      </c>
      <c r="I945">
        <v>0</v>
      </c>
      <c r="J945">
        <v>0</v>
      </c>
      <c r="K945">
        <v>0</v>
      </c>
      <c r="L945">
        <v>0</v>
      </c>
      <c r="M945">
        <v>0</v>
      </c>
      <c r="N945">
        <v>0</v>
      </c>
    </row>
    <row r="946" spans="1:14" ht="12.75" x14ac:dyDescent="0.2">
      <c r="A946">
        <v>6952</v>
      </c>
      <c r="B946" s="342">
        <v>60865</v>
      </c>
      <c r="C946" t="s">
        <v>865</v>
      </c>
      <c r="D946">
        <v>0</v>
      </c>
      <c r="E946">
        <v>0</v>
      </c>
      <c r="F946">
        <v>0</v>
      </c>
      <c r="G946">
        <v>0</v>
      </c>
      <c r="H946">
        <v>0</v>
      </c>
      <c r="I946">
        <v>0</v>
      </c>
      <c r="J946">
        <v>0</v>
      </c>
      <c r="K946">
        <v>0</v>
      </c>
      <c r="L946">
        <v>0</v>
      </c>
      <c r="M946">
        <v>0</v>
      </c>
      <c r="N946">
        <v>0</v>
      </c>
    </row>
    <row r="947" spans="1:14" ht="12.75" x14ac:dyDescent="0.2">
      <c r="A947">
        <v>6952</v>
      </c>
      <c r="B947" s="342">
        <v>60875</v>
      </c>
      <c r="C947" t="s">
        <v>506</v>
      </c>
      <c r="D947">
        <v>0</v>
      </c>
      <c r="E947">
        <v>0</v>
      </c>
      <c r="F947">
        <v>0</v>
      </c>
      <c r="G947">
        <v>0</v>
      </c>
      <c r="H947">
        <v>0</v>
      </c>
      <c r="I947">
        <v>0</v>
      </c>
      <c r="J947">
        <v>0</v>
      </c>
      <c r="K947">
        <v>0</v>
      </c>
      <c r="L947">
        <v>0</v>
      </c>
      <c r="M947">
        <v>0</v>
      </c>
      <c r="N947">
        <v>0</v>
      </c>
    </row>
    <row r="948" spans="1:14" ht="12.75" x14ac:dyDescent="0.2">
      <c r="A948">
        <v>6952</v>
      </c>
      <c r="B948" s="342">
        <v>60876</v>
      </c>
      <c r="C948" t="s">
        <v>507</v>
      </c>
      <c r="D948">
        <v>16.170000000000002</v>
      </c>
      <c r="E948">
        <v>274.55</v>
      </c>
      <c r="F948">
        <v>700</v>
      </c>
      <c r="G948">
        <v>599.64</v>
      </c>
      <c r="H948">
        <v>599.64</v>
      </c>
      <c r="I948">
        <v>700</v>
      </c>
      <c r="J948">
        <v>16.170000000000002</v>
      </c>
      <c r="K948">
        <v>274.55</v>
      </c>
      <c r="L948">
        <v>599.64</v>
      </c>
      <c r="M948">
        <v>599.64</v>
      </c>
      <c r="N948">
        <v>0</v>
      </c>
    </row>
    <row r="949" spans="1:14" ht="12.75" x14ac:dyDescent="0.2">
      <c r="A949">
        <v>6952</v>
      </c>
      <c r="B949">
        <v>60999</v>
      </c>
      <c r="C949" t="s">
        <v>1403</v>
      </c>
      <c r="D949">
        <v>0</v>
      </c>
      <c r="E949">
        <v>0</v>
      </c>
      <c r="F949">
        <v>0</v>
      </c>
      <c r="G949">
        <v>0</v>
      </c>
      <c r="H949">
        <v>0</v>
      </c>
      <c r="I949">
        <v>0</v>
      </c>
      <c r="J949">
        <v>0</v>
      </c>
      <c r="K949">
        <v>0</v>
      </c>
      <c r="L949">
        <v>0</v>
      </c>
      <c r="M949">
        <v>0</v>
      </c>
      <c r="N949">
        <v>0</v>
      </c>
    </row>
    <row r="950" spans="1:14" ht="12.75" x14ac:dyDescent="0.2">
      <c r="A950">
        <v>6952</v>
      </c>
      <c r="B950" s="342">
        <v>61000</v>
      </c>
      <c r="C950" t="s">
        <v>112</v>
      </c>
      <c r="D950">
        <v>-10477.700000000001</v>
      </c>
      <c r="E950">
        <v>-8889.6</v>
      </c>
      <c r="F950">
        <v>6000</v>
      </c>
      <c r="G950">
        <v>1241.32</v>
      </c>
      <c r="H950">
        <v>1241.32</v>
      </c>
      <c r="I950">
        <v>6000</v>
      </c>
      <c r="J950">
        <v>-10477.700000000001</v>
      </c>
      <c r="K950">
        <v>2911.91</v>
      </c>
      <c r="L950">
        <v>1241.32</v>
      </c>
      <c r="M950">
        <v>1241.32</v>
      </c>
      <c r="N950">
        <v>0</v>
      </c>
    </row>
    <row r="951" spans="1:14" ht="12.75" x14ac:dyDescent="0.2">
      <c r="A951">
        <v>6952</v>
      </c>
      <c r="B951" s="342">
        <v>61100</v>
      </c>
      <c r="C951" t="s">
        <v>113</v>
      </c>
      <c r="D951">
        <v>0</v>
      </c>
      <c r="E951">
        <v>3369.36</v>
      </c>
      <c r="F951">
        <v>9200</v>
      </c>
      <c r="G951">
        <v>0</v>
      </c>
      <c r="H951">
        <v>0</v>
      </c>
      <c r="I951">
        <v>9200</v>
      </c>
      <c r="J951">
        <v>0</v>
      </c>
      <c r="K951">
        <v>3369.36</v>
      </c>
      <c r="L951">
        <v>0</v>
      </c>
      <c r="M951">
        <v>0</v>
      </c>
      <c r="N951">
        <v>0</v>
      </c>
    </row>
    <row r="952" spans="1:14" ht="12.75" x14ac:dyDescent="0.2">
      <c r="A952">
        <v>6952</v>
      </c>
      <c r="B952" s="342">
        <v>61150</v>
      </c>
      <c r="C952" t="s">
        <v>893</v>
      </c>
      <c r="D952">
        <v>0</v>
      </c>
      <c r="E952">
        <v>0</v>
      </c>
      <c r="F952">
        <v>0</v>
      </c>
      <c r="G952">
        <v>0</v>
      </c>
      <c r="H952">
        <v>0</v>
      </c>
      <c r="I952">
        <v>0</v>
      </c>
      <c r="J952">
        <v>0</v>
      </c>
      <c r="K952">
        <v>0</v>
      </c>
      <c r="L952">
        <v>0</v>
      </c>
      <c r="M952">
        <v>0</v>
      </c>
      <c r="N952">
        <v>0</v>
      </c>
    </row>
    <row r="953" spans="1:14" ht="12.75" x14ac:dyDescent="0.2">
      <c r="A953">
        <v>6952</v>
      </c>
      <c r="B953" s="342">
        <v>61160</v>
      </c>
      <c r="C953" t="s">
        <v>961</v>
      </c>
      <c r="D953">
        <v>0</v>
      </c>
      <c r="E953">
        <v>0</v>
      </c>
      <c r="F953">
        <v>0</v>
      </c>
      <c r="G953">
        <v>0</v>
      </c>
      <c r="H953">
        <v>0</v>
      </c>
      <c r="I953">
        <v>0</v>
      </c>
      <c r="J953">
        <v>0</v>
      </c>
      <c r="K953">
        <v>0</v>
      </c>
      <c r="L953">
        <v>0</v>
      </c>
      <c r="M953">
        <v>0</v>
      </c>
      <c r="N953">
        <v>0</v>
      </c>
    </row>
    <row r="954" spans="1:14" ht="12.75" x14ac:dyDescent="0.2">
      <c r="A954">
        <v>6952</v>
      </c>
      <c r="B954" s="342">
        <v>61170</v>
      </c>
      <c r="C954" t="s">
        <v>894</v>
      </c>
      <c r="D954">
        <v>0</v>
      </c>
      <c r="E954">
        <v>0</v>
      </c>
      <c r="F954">
        <v>0</v>
      </c>
      <c r="G954">
        <v>0</v>
      </c>
      <c r="H954">
        <v>0</v>
      </c>
      <c r="I954">
        <v>0</v>
      </c>
      <c r="J954">
        <v>0</v>
      </c>
      <c r="K954">
        <v>0</v>
      </c>
      <c r="L954">
        <v>0</v>
      </c>
      <c r="M954">
        <v>0</v>
      </c>
      <c r="N954">
        <v>0</v>
      </c>
    </row>
    <row r="955" spans="1:14" ht="12.75" x14ac:dyDescent="0.2">
      <c r="A955">
        <v>6952</v>
      </c>
      <c r="B955" s="342">
        <v>61175</v>
      </c>
      <c r="C955" t="s">
        <v>962</v>
      </c>
      <c r="D955">
        <v>0</v>
      </c>
      <c r="E955">
        <v>0</v>
      </c>
      <c r="F955">
        <v>0</v>
      </c>
      <c r="G955">
        <v>0</v>
      </c>
      <c r="H955">
        <v>0</v>
      </c>
      <c r="I955">
        <v>0</v>
      </c>
      <c r="J955">
        <v>0</v>
      </c>
      <c r="K955">
        <v>0</v>
      </c>
      <c r="L955">
        <v>0</v>
      </c>
      <c r="M955">
        <v>0</v>
      </c>
      <c r="N955">
        <v>0</v>
      </c>
    </row>
    <row r="956" spans="1:14" ht="12.75" x14ac:dyDescent="0.2">
      <c r="A956">
        <v>6952</v>
      </c>
      <c r="B956" s="342">
        <v>61200</v>
      </c>
      <c r="C956" t="s">
        <v>114</v>
      </c>
      <c r="D956">
        <v>0</v>
      </c>
      <c r="E956">
        <v>36.520000000000003</v>
      </c>
      <c r="F956">
        <v>1000</v>
      </c>
      <c r="G956">
        <v>842.42</v>
      </c>
      <c r="H956">
        <v>842.42</v>
      </c>
      <c r="I956">
        <v>1000</v>
      </c>
      <c r="J956">
        <v>0</v>
      </c>
      <c r="K956">
        <v>36.520000000000003</v>
      </c>
      <c r="L956">
        <v>842.42</v>
      </c>
      <c r="M956">
        <v>842.42</v>
      </c>
      <c r="N956">
        <v>0</v>
      </c>
    </row>
    <row r="957" spans="1:14" ht="12.75" x14ac:dyDescent="0.2">
      <c r="A957">
        <v>6952</v>
      </c>
      <c r="B957" s="342">
        <v>61300</v>
      </c>
      <c r="C957" t="s">
        <v>115</v>
      </c>
      <c r="D957">
        <v>0</v>
      </c>
      <c r="E957">
        <v>160</v>
      </c>
      <c r="F957">
        <v>6000</v>
      </c>
      <c r="G957">
        <v>3857.77</v>
      </c>
      <c r="H957">
        <v>3857.77</v>
      </c>
      <c r="I957">
        <v>6000</v>
      </c>
      <c r="J957">
        <v>0</v>
      </c>
      <c r="K957">
        <v>160</v>
      </c>
      <c r="L957">
        <v>3857.77</v>
      </c>
      <c r="M957">
        <v>3857.77</v>
      </c>
      <c r="N957">
        <v>0</v>
      </c>
    </row>
    <row r="958" spans="1:14" ht="12.75" x14ac:dyDescent="0.2">
      <c r="A958">
        <v>6952</v>
      </c>
      <c r="B958" s="342">
        <v>61305</v>
      </c>
      <c r="C958" t="s">
        <v>369</v>
      </c>
      <c r="D958">
        <v>11473.56</v>
      </c>
      <c r="E958">
        <v>70097.73</v>
      </c>
      <c r="F958">
        <v>126000</v>
      </c>
      <c r="G958">
        <v>12874.29</v>
      </c>
      <c r="H958">
        <v>12874.29</v>
      </c>
      <c r="I958">
        <v>126000</v>
      </c>
      <c r="J958">
        <v>11473.56</v>
      </c>
      <c r="K958">
        <v>70097.73</v>
      </c>
      <c r="L958">
        <v>12874.29</v>
      </c>
      <c r="M958">
        <v>12874.29</v>
      </c>
      <c r="N958">
        <v>0</v>
      </c>
    </row>
    <row r="959" spans="1:14" ht="12.75" x14ac:dyDescent="0.2">
      <c r="A959">
        <v>6952</v>
      </c>
      <c r="B959" s="342">
        <v>61400</v>
      </c>
      <c r="C959" t="s">
        <v>895</v>
      </c>
      <c r="D959">
        <v>0</v>
      </c>
      <c r="E959">
        <v>0</v>
      </c>
      <c r="F959">
        <v>0</v>
      </c>
      <c r="G959">
        <v>0</v>
      </c>
      <c r="H959">
        <v>0</v>
      </c>
      <c r="I959">
        <v>0</v>
      </c>
      <c r="J959">
        <v>0</v>
      </c>
      <c r="K959">
        <v>0</v>
      </c>
      <c r="L959">
        <v>0</v>
      </c>
      <c r="M959">
        <v>0</v>
      </c>
      <c r="N959">
        <v>0</v>
      </c>
    </row>
    <row r="960" spans="1:14" ht="12.75" x14ac:dyDescent="0.2">
      <c r="A960">
        <v>6952</v>
      </c>
      <c r="B960">
        <v>61499</v>
      </c>
      <c r="C960" t="s">
        <v>1404</v>
      </c>
      <c r="D960">
        <v>0</v>
      </c>
      <c r="E960">
        <v>0</v>
      </c>
      <c r="F960">
        <v>0</v>
      </c>
      <c r="G960">
        <v>0</v>
      </c>
      <c r="H960">
        <v>0</v>
      </c>
      <c r="I960">
        <v>0</v>
      </c>
      <c r="J960">
        <v>0</v>
      </c>
      <c r="K960">
        <v>0</v>
      </c>
      <c r="L960">
        <v>0</v>
      </c>
      <c r="M960">
        <v>0</v>
      </c>
      <c r="N960">
        <v>0</v>
      </c>
    </row>
    <row r="961" spans="1:14" ht="12.75" x14ac:dyDescent="0.2">
      <c r="A961">
        <v>6952</v>
      </c>
      <c r="B961" s="342">
        <v>61500</v>
      </c>
      <c r="C961" t="s">
        <v>116</v>
      </c>
      <c r="D961">
        <v>0</v>
      </c>
      <c r="E961">
        <v>39916.519999999997</v>
      </c>
      <c r="F961">
        <v>36000</v>
      </c>
      <c r="G961">
        <v>11817.39</v>
      </c>
      <c r="H961">
        <v>11817.39</v>
      </c>
      <c r="I961">
        <v>36000</v>
      </c>
      <c r="J961">
        <v>0</v>
      </c>
      <c r="K961">
        <v>39916.519999999997</v>
      </c>
      <c r="L961">
        <v>11817.39</v>
      </c>
      <c r="M961">
        <v>11817.39</v>
      </c>
      <c r="N961">
        <v>0</v>
      </c>
    </row>
    <row r="962" spans="1:14" ht="12.75" x14ac:dyDescent="0.2">
      <c r="A962">
        <v>6952</v>
      </c>
      <c r="B962" s="342">
        <v>61600</v>
      </c>
      <c r="C962" t="s">
        <v>117</v>
      </c>
      <c r="D962">
        <v>262.13</v>
      </c>
      <c r="E962">
        <v>5221.8500000000004</v>
      </c>
      <c r="F962">
        <v>3500</v>
      </c>
      <c r="G962">
        <v>3895.02</v>
      </c>
      <c r="H962">
        <v>3895.02</v>
      </c>
      <c r="I962">
        <v>3500</v>
      </c>
      <c r="J962">
        <v>262.13</v>
      </c>
      <c r="K962">
        <v>5309.33</v>
      </c>
      <c r="L962">
        <v>3895.02</v>
      </c>
      <c r="M962">
        <v>3895.02</v>
      </c>
      <c r="N962">
        <v>0</v>
      </c>
    </row>
    <row r="963" spans="1:14" ht="12.75" x14ac:dyDescent="0.2">
      <c r="A963">
        <v>6952</v>
      </c>
      <c r="B963" s="342">
        <v>61700</v>
      </c>
      <c r="C963" t="s">
        <v>118</v>
      </c>
      <c r="D963">
        <v>0</v>
      </c>
      <c r="E963">
        <v>2905.29</v>
      </c>
      <c r="F963">
        <v>15000</v>
      </c>
      <c r="G963">
        <v>11292.68</v>
      </c>
      <c r="H963">
        <v>11292.68</v>
      </c>
      <c r="I963">
        <v>15000</v>
      </c>
      <c r="J963">
        <v>0</v>
      </c>
      <c r="K963">
        <v>2905.29</v>
      </c>
      <c r="L963">
        <v>11292.68</v>
      </c>
      <c r="M963">
        <v>11292.68</v>
      </c>
      <c r="N963">
        <v>0</v>
      </c>
    </row>
    <row r="964" spans="1:14" ht="12.75" x14ac:dyDescent="0.2">
      <c r="A964">
        <v>6952</v>
      </c>
      <c r="B964" s="342">
        <v>61800</v>
      </c>
      <c r="C964" t="s">
        <v>1675</v>
      </c>
      <c r="D964">
        <v>12.91</v>
      </c>
      <c r="E964">
        <v>12.91</v>
      </c>
      <c r="F964">
        <v>10000</v>
      </c>
      <c r="G964">
        <v>16.43</v>
      </c>
      <c r="H964">
        <v>16.43</v>
      </c>
      <c r="I964">
        <v>10000</v>
      </c>
      <c r="J964">
        <v>12.91</v>
      </c>
      <c r="K964">
        <v>12.91</v>
      </c>
      <c r="L964">
        <v>16.43</v>
      </c>
      <c r="M964">
        <v>16.43</v>
      </c>
      <c r="N964">
        <v>0</v>
      </c>
    </row>
    <row r="965" spans="1:14" ht="12.75" x14ac:dyDescent="0.2">
      <c r="A965">
        <v>6952</v>
      </c>
      <c r="B965" s="342">
        <v>61900</v>
      </c>
      <c r="C965" t="s">
        <v>119</v>
      </c>
      <c r="D965">
        <v>0</v>
      </c>
      <c r="E965">
        <v>262.66000000000003</v>
      </c>
      <c r="F965">
        <v>1000</v>
      </c>
      <c r="G965">
        <v>455.69</v>
      </c>
      <c r="H965">
        <v>455.69</v>
      </c>
      <c r="I965">
        <v>1000</v>
      </c>
      <c r="J965">
        <v>0</v>
      </c>
      <c r="K965">
        <v>262.66000000000003</v>
      </c>
      <c r="L965">
        <v>455.69</v>
      </c>
      <c r="M965">
        <v>455.69</v>
      </c>
      <c r="N965">
        <v>0</v>
      </c>
    </row>
    <row r="966" spans="1:14" ht="12.75" x14ac:dyDescent="0.2">
      <c r="A966">
        <v>6952</v>
      </c>
      <c r="B966">
        <v>61999</v>
      </c>
      <c r="C966" t="s">
        <v>1405</v>
      </c>
      <c r="D966">
        <v>0</v>
      </c>
      <c r="E966">
        <v>0</v>
      </c>
      <c r="F966">
        <v>0</v>
      </c>
      <c r="G966">
        <v>0</v>
      </c>
      <c r="H966">
        <v>0</v>
      </c>
      <c r="I966">
        <v>0</v>
      </c>
      <c r="J966">
        <v>0</v>
      </c>
      <c r="K966">
        <v>0</v>
      </c>
      <c r="L966">
        <v>0</v>
      </c>
      <c r="M966">
        <v>0</v>
      </c>
      <c r="N966">
        <v>0</v>
      </c>
    </row>
    <row r="967" spans="1:14" ht="12.75" x14ac:dyDescent="0.2">
      <c r="A967">
        <v>6952</v>
      </c>
      <c r="B967" s="342">
        <v>62000</v>
      </c>
      <c r="C967" t="s">
        <v>1406</v>
      </c>
      <c r="D967">
        <v>31.03</v>
      </c>
      <c r="E967">
        <v>193.6</v>
      </c>
      <c r="F967">
        <v>300</v>
      </c>
      <c r="G967">
        <v>253.53</v>
      </c>
      <c r="H967">
        <v>253.53</v>
      </c>
      <c r="I967">
        <v>300</v>
      </c>
      <c r="J967">
        <v>31.03</v>
      </c>
      <c r="K967">
        <v>193.6</v>
      </c>
      <c r="L967">
        <v>253.53</v>
      </c>
      <c r="M967">
        <v>253.53</v>
      </c>
      <c r="N967">
        <v>0</v>
      </c>
    </row>
    <row r="968" spans="1:14" ht="12.75" x14ac:dyDescent="0.2">
      <c r="A968">
        <v>6952</v>
      </c>
      <c r="B968" s="342">
        <v>62050</v>
      </c>
      <c r="C968" t="s">
        <v>1407</v>
      </c>
      <c r="D968">
        <v>64.36</v>
      </c>
      <c r="E968">
        <v>94.81</v>
      </c>
      <c r="F968">
        <v>200</v>
      </c>
      <c r="G968">
        <v>5.22</v>
      </c>
      <c r="H968">
        <v>5.22</v>
      </c>
      <c r="I968">
        <v>200</v>
      </c>
      <c r="J968">
        <v>64.36</v>
      </c>
      <c r="K968">
        <v>94.81</v>
      </c>
      <c r="L968">
        <v>5.22</v>
      </c>
      <c r="M968">
        <v>5.22</v>
      </c>
      <c r="N968">
        <v>0</v>
      </c>
    </row>
    <row r="969" spans="1:14" ht="12.75" x14ac:dyDescent="0.2">
      <c r="A969">
        <v>6952</v>
      </c>
      <c r="B969" s="342">
        <v>62100</v>
      </c>
      <c r="C969" t="s">
        <v>1408</v>
      </c>
      <c r="D969">
        <v>0</v>
      </c>
      <c r="E969">
        <v>0</v>
      </c>
      <c r="F969">
        <v>0</v>
      </c>
      <c r="G969">
        <v>0</v>
      </c>
      <c r="H969">
        <v>0</v>
      </c>
      <c r="I969">
        <v>0</v>
      </c>
      <c r="J969">
        <v>0</v>
      </c>
      <c r="K969">
        <v>0</v>
      </c>
      <c r="L969">
        <v>0</v>
      </c>
      <c r="M969">
        <v>0</v>
      </c>
      <c r="N969">
        <v>0</v>
      </c>
    </row>
    <row r="970" spans="1:14" ht="12.75" x14ac:dyDescent="0.2">
      <c r="A970">
        <v>6952</v>
      </c>
      <c r="B970" s="342">
        <v>62200</v>
      </c>
      <c r="C970" t="s">
        <v>1409</v>
      </c>
      <c r="D970">
        <v>0</v>
      </c>
      <c r="E970">
        <v>986.87</v>
      </c>
      <c r="F970">
        <v>500</v>
      </c>
      <c r="G970">
        <v>459.86</v>
      </c>
      <c r="H970">
        <v>459.86</v>
      </c>
      <c r="I970">
        <v>500</v>
      </c>
      <c r="J970">
        <v>0</v>
      </c>
      <c r="K970">
        <v>986.87</v>
      </c>
      <c r="L970">
        <v>459.86</v>
      </c>
      <c r="M970">
        <v>459.86</v>
      </c>
      <c r="N970">
        <v>0</v>
      </c>
    </row>
    <row r="971" spans="1:14" ht="12.75" x14ac:dyDescent="0.2">
      <c r="A971">
        <v>6952</v>
      </c>
      <c r="B971" s="342">
        <v>62250</v>
      </c>
      <c r="C971" t="s">
        <v>1410</v>
      </c>
      <c r="D971">
        <v>760.64</v>
      </c>
      <c r="E971">
        <v>3457.24</v>
      </c>
      <c r="F971">
        <v>1200</v>
      </c>
      <c r="G971">
        <v>896.34</v>
      </c>
      <c r="H971">
        <v>896.34</v>
      </c>
      <c r="I971">
        <v>1200</v>
      </c>
      <c r="J971">
        <v>760.64</v>
      </c>
      <c r="K971">
        <v>3457.24</v>
      </c>
      <c r="L971">
        <v>896.34</v>
      </c>
      <c r="M971">
        <v>896.34</v>
      </c>
      <c r="N971">
        <v>0</v>
      </c>
    </row>
    <row r="972" spans="1:14" ht="12.75" x14ac:dyDescent="0.2">
      <c r="A972">
        <v>6952</v>
      </c>
      <c r="B972" s="342">
        <v>62300</v>
      </c>
      <c r="C972" t="s">
        <v>1411</v>
      </c>
      <c r="D972">
        <v>31.3</v>
      </c>
      <c r="E972">
        <v>3699.48</v>
      </c>
      <c r="F972">
        <v>3000</v>
      </c>
      <c r="G972">
        <v>2472</v>
      </c>
      <c r="H972">
        <v>2472</v>
      </c>
      <c r="I972">
        <v>3000</v>
      </c>
      <c r="J972">
        <v>31.3</v>
      </c>
      <c r="K972">
        <v>3699.48</v>
      </c>
      <c r="L972">
        <v>2472</v>
      </c>
      <c r="M972">
        <v>2472</v>
      </c>
      <c r="N972">
        <v>0</v>
      </c>
    </row>
    <row r="973" spans="1:14" ht="12.75" x14ac:dyDescent="0.2">
      <c r="A973">
        <v>6952</v>
      </c>
      <c r="B973" s="342">
        <v>62350</v>
      </c>
      <c r="C973" t="s">
        <v>1412</v>
      </c>
      <c r="D973">
        <v>509.96</v>
      </c>
      <c r="E973">
        <v>10497.48</v>
      </c>
      <c r="F973">
        <v>6500</v>
      </c>
      <c r="G973">
        <v>9247.4500000000007</v>
      </c>
      <c r="H973">
        <v>9247.4500000000007</v>
      </c>
      <c r="I973">
        <v>6500</v>
      </c>
      <c r="J973">
        <v>509.96</v>
      </c>
      <c r="K973">
        <v>10548.51</v>
      </c>
      <c r="L973">
        <v>9247.4500000000007</v>
      </c>
      <c r="M973">
        <v>9247.4500000000007</v>
      </c>
      <c r="N973">
        <v>0</v>
      </c>
    </row>
    <row r="974" spans="1:14" ht="12.75" x14ac:dyDescent="0.2">
      <c r="A974">
        <v>6952</v>
      </c>
      <c r="B974" s="342">
        <v>62360</v>
      </c>
      <c r="C974" t="s">
        <v>1413</v>
      </c>
      <c r="D974">
        <v>0</v>
      </c>
      <c r="E974">
        <v>450.73</v>
      </c>
      <c r="F974">
        <v>200</v>
      </c>
      <c r="G974">
        <v>277.81</v>
      </c>
      <c r="H974">
        <v>277.81</v>
      </c>
      <c r="I974">
        <v>200</v>
      </c>
      <c r="J974">
        <v>0</v>
      </c>
      <c r="K974">
        <v>450.73</v>
      </c>
      <c r="L974">
        <v>277.81</v>
      </c>
      <c r="M974">
        <v>277.81</v>
      </c>
      <c r="N974">
        <v>0</v>
      </c>
    </row>
    <row r="975" spans="1:14" ht="12.75" x14ac:dyDescent="0.2">
      <c r="A975">
        <v>6952</v>
      </c>
      <c r="B975" s="342">
        <v>62400</v>
      </c>
      <c r="C975" t="s">
        <v>1414</v>
      </c>
      <c r="D975">
        <v>0</v>
      </c>
      <c r="E975">
        <v>0</v>
      </c>
      <c r="F975">
        <v>0</v>
      </c>
      <c r="G975">
        <v>0</v>
      </c>
      <c r="H975">
        <v>0</v>
      </c>
      <c r="I975">
        <v>0</v>
      </c>
      <c r="J975">
        <v>0</v>
      </c>
      <c r="K975">
        <v>0</v>
      </c>
      <c r="L975">
        <v>0</v>
      </c>
      <c r="M975">
        <v>0</v>
      </c>
      <c r="N975">
        <v>0</v>
      </c>
    </row>
    <row r="976" spans="1:14" ht="12.75" x14ac:dyDescent="0.2">
      <c r="A976">
        <v>6952</v>
      </c>
      <c r="B976" s="342">
        <v>62450</v>
      </c>
      <c r="C976" t="s">
        <v>1415</v>
      </c>
      <c r="D976">
        <v>0</v>
      </c>
      <c r="E976">
        <v>2717.69</v>
      </c>
      <c r="F976">
        <v>2300</v>
      </c>
      <c r="G976">
        <v>3139.53</v>
      </c>
      <c r="H976">
        <v>3139.53</v>
      </c>
      <c r="I976">
        <v>2300</v>
      </c>
      <c r="J976">
        <v>0</v>
      </c>
      <c r="K976">
        <v>2717.69</v>
      </c>
      <c r="L976">
        <v>3139.53</v>
      </c>
      <c r="M976">
        <v>3139.53</v>
      </c>
      <c r="N976">
        <v>0</v>
      </c>
    </row>
    <row r="977" spans="1:14" ht="12.75" x14ac:dyDescent="0.2">
      <c r="A977">
        <v>6952</v>
      </c>
      <c r="B977" s="342">
        <v>62455</v>
      </c>
      <c r="C977" t="s">
        <v>1416</v>
      </c>
      <c r="D977">
        <v>0</v>
      </c>
      <c r="E977">
        <v>0</v>
      </c>
      <c r="F977">
        <v>200</v>
      </c>
      <c r="G977">
        <v>0</v>
      </c>
      <c r="H977">
        <v>0</v>
      </c>
      <c r="I977">
        <v>200</v>
      </c>
      <c r="J977">
        <v>0</v>
      </c>
      <c r="K977">
        <v>0</v>
      </c>
      <c r="L977">
        <v>0</v>
      </c>
      <c r="M977">
        <v>0</v>
      </c>
      <c r="N977">
        <v>0</v>
      </c>
    </row>
    <row r="978" spans="1:14" ht="12.75" x14ac:dyDescent="0.2">
      <c r="A978">
        <v>6952</v>
      </c>
      <c r="B978">
        <v>62499</v>
      </c>
      <c r="C978" t="s">
        <v>1417</v>
      </c>
      <c r="D978">
        <v>0</v>
      </c>
      <c r="E978">
        <v>0</v>
      </c>
      <c r="F978">
        <v>0</v>
      </c>
      <c r="G978">
        <v>0</v>
      </c>
      <c r="H978">
        <v>0</v>
      </c>
      <c r="I978">
        <v>0</v>
      </c>
      <c r="J978">
        <v>0</v>
      </c>
      <c r="K978">
        <v>0</v>
      </c>
      <c r="L978">
        <v>0</v>
      </c>
      <c r="M978">
        <v>0</v>
      </c>
      <c r="N978">
        <v>0</v>
      </c>
    </row>
    <row r="979" spans="1:14" ht="12.75" x14ac:dyDescent="0.2">
      <c r="A979">
        <v>6952</v>
      </c>
      <c r="B979" s="342">
        <v>62500</v>
      </c>
      <c r="C979" t="s">
        <v>329</v>
      </c>
      <c r="D979">
        <v>12664.98</v>
      </c>
      <c r="E979">
        <v>78746.740000000005</v>
      </c>
      <c r="F979">
        <v>70211</v>
      </c>
      <c r="G979">
        <v>79598.45</v>
      </c>
      <c r="H979">
        <v>79598.45</v>
      </c>
      <c r="I979">
        <v>70211</v>
      </c>
      <c r="J979">
        <v>12664.98</v>
      </c>
      <c r="K979">
        <v>78746.740000000005</v>
      </c>
      <c r="L979">
        <v>79844.289999999994</v>
      </c>
      <c r="M979">
        <v>79844.289999999994</v>
      </c>
      <c r="N979">
        <v>0</v>
      </c>
    </row>
    <row r="980" spans="1:14" ht="12.75" x14ac:dyDescent="0.2">
      <c r="A980">
        <v>6952</v>
      </c>
      <c r="B980" s="342">
        <v>62550</v>
      </c>
      <c r="C980" t="s">
        <v>677</v>
      </c>
      <c r="D980">
        <v>0</v>
      </c>
      <c r="E980">
        <v>0</v>
      </c>
      <c r="F980">
        <v>0</v>
      </c>
      <c r="G980">
        <v>0</v>
      </c>
      <c r="H980">
        <v>0</v>
      </c>
      <c r="I980">
        <v>0</v>
      </c>
      <c r="J980">
        <v>0</v>
      </c>
      <c r="K980">
        <v>0</v>
      </c>
      <c r="L980">
        <v>0</v>
      </c>
      <c r="M980">
        <v>0</v>
      </c>
      <c r="N980">
        <v>0</v>
      </c>
    </row>
    <row r="981" spans="1:14" ht="12.75" x14ac:dyDescent="0.2">
      <c r="A981">
        <v>6952</v>
      </c>
      <c r="B981" s="342">
        <v>62560</v>
      </c>
      <c r="C981" t="s">
        <v>120</v>
      </c>
      <c r="D981">
        <v>0</v>
      </c>
      <c r="E981">
        <v>2635.4</v>
      </c>
      <c r="F981">
        <v>4000</v>
      </c>
      <c r="G981">
        <v>744.8</v>
      </c>
      <c r="H981">
        <v>744.8</v>
      </c>
      <c r="I981">
        <v>4000</v>
      </c>
      <c r="J981">
        <v>0</v>
      </c>
      <c r="K981">
        <v>2635.4</v>
      </c>
      <c r="L981">
        <v>744.8</v>
      </c>
      <c r="M981">
        <v>744.8</v>
      </c>
      <c r="N981">
        <v>0</v>
      </c>
    </row>
    <row r="982" spans="1:14" ht="12.75" x14ac:dyDescent="0.2">
      <c r="A982">
        <v>6952</v>
      </c>
      <c r="B982" s="342">
        <v>62570</v>
      </c>
      <c r="C982" t="s">
        <v>381</v>
      </c>
      <c r="D982">
        <v>375.26</v>
      </c>
      <c r="E982">
        <v>1579.37</v>
      </c>
      <c r="F982">
        <v>2500</v>
      </c>
      <c r="G982">
        <v>1273.29</v>
      </c>
      <c r="H982">
        <v>1273.29</v>
      </c>
      <c r="I982">
        <v>2500</v>
      </c>
      <c r="J982">
        <v>375.26</v>
      </c>
      <c r="K982">
        <v>1579.37</v>
      </c>
      <c r="L982">
        <v>1273.29</v>
      </c>
      <c r="M982">
        <v>1273.29</v>
      </c>
      <c r="N982">
        <v>0</v>
      </c>
    </row>
    <row r="983" spans="1:14" ht="12.75" x14ac:dyDescent="0.2">
      <c r="A983">
        <v>6952</v>
      </c>
      <c r="B983" s="342">
        <v>62580</v>
      </c>
      <c r="C983" t="s">
        <v>333</v>
      </c>
      <c r="D983">
        <v>627.05999999999995</v>
      </c>
      <c r="E983">
        <v>5801.14</v>
      </c>
      <c r="F983">
        <v>9000</v>
      </c>
      <c r="G983">
        <v>8256.35</v>
      </c>
      <c r="H983">
        <v>8256.35</v>
      </c>
      <c r="I983">
        <v>9000</v>
      </c>
      <c r="J983">
        <v>627.05999999999995</v>
      </c>
      <c r="K983">
        <v>5801.14</v>
      </c>
      <c r="L983">
        <v>8256.35</v>
      </c>
      <c r="M983">
        <v>8256.35</v>
      </c>
      <c r="N983">
        <v>0</v>
      </c>
    </row>
    <row r="984" spans="1:14" ht="12.75" x14ac:dyDescent="0.2">
      <c r="A984">
        <v>6952</v>
      </c>
      <c r="B984">
        <v>62999</v>
      </c>
      <c r="C984" t="s">
        <v>1418</v>
      </c>
      <c r="D984">
        <v>0</v>
      </c>
      <c r="E984">
        <v>0</v>
      </c>
      <c r="F984">
        <v>0</v>
      </c>
      <c r="G984">
        <v>0</v>
      </c>
      <c r="H984">
        <v>0</v>
      </c>
      <c r="I984">
        <v>0</v>
      </c>
      <c r="J984">
        <v>0</v>
      </c>
      <c r="K984">
        <v>0</v>
      </c>
      <c r="L984">
        <v>0</v>
      </c>
      <c r="M984">
        <v>0</v>
      </c>
      <c r="N984">
        <v>0</v>
      </c>
    </row>
    <row r="985" spans="1:14" ht="12.75" x14ac:dyDescent="0.2">
      <c r="A985">
        <v>6952</v>
      </c>
      <c r="B985" s="342">
        <v>63000</v>
      </c>
      <c r="C985" t="s">
        <v>1419</v>
      </c>
      <c r="D985">
        <v>0</v>
      </c>
      <c r="E985">
        <v>384.37</v>
      </c>
      <c r="F985">
        <v>200</v>
      </c>
      <c r="G985">
        <v>113.95</v>
      </c>
      <c r="H985">
        <v>113.95</v>
      </c>
      <c r="I985">
        <v>200</v>
      </c>
      <c r="J985">
        <v>0</v>
      </c>
      <c r="K985">
        <v>384.37</v>
      </c>
      <c r="L985">
        <v>113.95</v>
      </c>
      <c r="M985">
        <v>113.95</v>
      </c>
      <c r="N985">
        <v>0</v>
      </c>
    </row>
    <row r="986" spans="1:14" ht="12.75" x14ac:dyDescent="0.2">
      <c r="A986">
        <v>6952</v>
      </c>
      <c r="B986" s="342">
        <v>63050</v>
      </c>
      <c r="C986" t="s">
        <v>1420</v>
      </c>
      <c r="D986">
        <v>0</v>
      </c>
      <c r="E986">
        <v>217.39</v>
      </c>
      <c r="F986">
        <v>400</v>
      </c>
      <c r="G986">
        <v>349.14</v>
      </c>
      <c r="H986">
        <v>349.14</v>
      </c>
      <c r="I986">
        <v>400</v>
      </c>
      <c r="J986">
        <v>0</v>
      </c>
      <c r="K986">
        <v>217.39</v>
      </c>
      <c r="L986">
        <v>472.96</v>
      </c>
      <c r="M986">
        <v>472.96</v>
      </c>
      <c r="N986">
        <v>0</v>
      </c>
    </row>
    <row r="987" spans="1:14" ht="12.75" x14ac:dyDescent="0.2">
      <c r="A987">
        <v>6952</v>
      </c>
      <c r="B987" s="342">
        <v>63100</v>
      </c>
      <c r="C987" t="s">
        <v>427</v>
      </c>
      <c r="D987">
        <v>0</v>
      </c>
      <c r="E987">
        <v>0</v>
      </c>
      <c r="F987">
        <v>0</v>
      </c>
      <c r="G987">
        <v>0</v>
      </c>
      <c r="H987">
        <v>0</v>
      </c>
      <c r="I987">
        <v>0</v>
      </c>
      <c r="J987">
        <v>0</v>
      </c>
      <c r="K987">
        <v>0</v>
      </c>
      <c r="L987">
        <v>0</v>
      </c>
      <c r="M987">
        <v>0</v>
      </c>
      <c r="N987">
        <v>0</v>
      </c>
    </row>
    <row r="988" spans="1:14" ht="12.75" x14ac:dyDescent="0.2">
      <c r="A988">
        <v>6952</v>
      </c>
      <c r="B988" s="342">
        <v>63150</v>
      </c>
      <c r="C988" t="s">
        <v>674</v>
      </c>
      <c r="D988">
        <v>0</v>
      </c>
      <c r="E988">
        <v>0</v>
      </c>
      <c r="F988">
        <v>0</v>
      </c>
      <c r="G988">
        <v>0</v>
      </c>
      <c r="H988">
        <v>0</v>
      </c>
      <c r="I988">
        <v>0</v>
      </c>
      <c r="J988">
        <v>0</v>
      </c>
      <c r="K988">
        <v>0</v>
      </c>
      <c r="L988">
        <v>0</v>
      </c>
      <c r="M988">
        <v>0</v>
      </c>
      <c r="N988">
        <v>0</v>
      </c>
    </row>
    <row r="989" spans="1:14" ht="12.75" x14ac:dyDescent="0.2">
      <c r="A989">
        <v>6952</v>
      </c>
      <c r="B989" s="342">
        <v>63200</v>
      </c>
      <c r="C989" t="s">
        <v>1421</v>
      </c>
      <c r="D989">
        <v>56.52</v>
      </c>
      <c r="E989">
        <v>173.91</v>
      </c>
      <c r="F989">
        <v>250</v>
      </c>
      <c r="G989">
        <v>294.77999999999997</v>
      </c>
      <c r="H989">
        <v>294.77999999999997</v>
      </c>
      <c r="I989">
        <v>250</v>
      </c>
      <c r="J989">
        <v>56.52</v>
      </c>
      <c r="K989">
        <v>173.91</v>
      </c>
      <c r="L989">
        <v>294.77999999999997</v>
      </c>
      <c r="M989">
        <v>294.77999999999997</v>
      </c>
      <c r="N989">
        <v>0</v>
      </c>
    </row>
    <row r="990" spans="1:14" ht="12.75" x14ac:dyDescent="0.2">
      <c r="A990">
        <v>6952</v>
      </c>
      <c r="B990" s="342">
        <v>63250</v>
      </c>
      <c r="C990" t="s">
        <v>1422</v>
      </c>
      <c r="D990">
        <v>138.86000000000001</v>
      </c>
      <c r="E990">
        <v>420.58</v>
      </c>
      <c r="F990">
        <v>300</v>
      </c>
      <c r="G990">
        <v>286.89</v>
      </c>
      <c r="H990">
        <v>286.89</v>
      </c>
      <c r="I990">
        <v>300</v>
      </c>
      <c r="J990">
        <v>138.86000000000001</v>
      </c>
      <c r="K990">
        <v>420.58</v>
      </c>
      <c r="L990">
        <v>286.89</v>
      </c>
      <c r="M990">
        <v>286.89</v>
      </c>
      <c r="N990">
        <v>0</v>
      </c>
    </row>
    <row r="991" spans="1:14" ht="12.75" x14ac:dyDescent="0.2">
      <c r="A991">
        <v>6952</v>
      </c>
      <c r="B991" s="342">
        <v>63300</v>
      </c>
      <c r="C991" t="s">
        <v>1423</v>
      </c>
      <c r="D991">
        <v>0</v>
      </c>
      <c r="E991">
        <v>434.23</v>
      </c>
      <c r="F991">
        <v>600</v>
      </c>
      <c r="G991">
        <v>584.25</v>
      </c>
      <c r="H991">
        <v>584.25</v>
      </c>
      <c r="I991">
        <v>600</v>
      </c>
      <c r="J991">
        <v>0</v>
      </c>
      <c r="K991">
        <v>434.23</v>
      </c>
      <c r="L991">
        <v>584.25</v>
      </c>
      <c r="M991">
        <v>584.25</v>
      </c>
      <c r="N991">
        <v>0</v>
      </c>
    </row>
    <row r="992" spans="1:14" ht="12.75" x14ac:dyDescent="0.2">
      <c r="A992">
        <v>6952</v>
      </c>
      <c r="B992" s="342">
        <v>63350</v>
      </c>
      <c r="C992" t="s">
        <v>1424</v>
      </c>
      <c r="D992">
        <v>589.80999999999995</v>
      </c>
      <c r="E992">
        <v>3133.06</v>
      </c>
      <c r="F992">
        <v>4000</v>
      </c>
      <c r="G992">
        <v>3494.54</v>
      </c>
      <c r="H992">
        <v>3494.54</v>
      </c>
      <c r="I992">
        <v>4000</v>
      </c>
      <c r="J992">
        <v>589.80999999999995</v>
      </c>
      <c r="K992">
        <v>3133.06</v>
      </c>
      <c r="L992">
        <v>3494.54</v>
      </c>
      <c r="M992">
        <v>3494.54</v>
      </c>
      <c r="N992">
        <v>0</v>
      </c>
    </row>
    <row r="993" spans="1:14" ht="12.75" x14ac:dyDescent="0.2">
      <c r="A993">
        <v>6952</v>
      </c>
      <c r="B993" s="342">
        <v>63400</v>
      </c>
      <c r="C993" t="s">
        <v>1425</v>
      </c>
      <c r="D993">
        <v>0</v>
      </c>
      <c r="E993">
        <v>0</v>
      </c>
      <c r="F993">
        <v>150</v>
      </c>
      <c r="G993">
        <v>38.26</v>
      </c>
      <c r="H993">
        <v>38.26</v>
      </c>
      <c r="I993">
        <v>150</v>
      </c>
      <c r="J993">
        <v>0</v>
      </c>
      <c r="K993">
        <v>0</v>
      </c>
      <c r="L993">
        <v>38.26</v>
      </c>
      <c r="M993">
        <v>38.26</v>
      </c>
      <c r="N993">
        <v>0</v>
      </c>
    </row>
    <row r="994" spans="1:14" ht="12.75" x14ac:dyDescent="0.2">
      <c r="A994">
        <v>6952</v>
      </c>
      <c r="B994" s="342">
        <v>63450</v>
      </c>
      <c r="C994" t="s">
        <v>1426</v>
      </c>
      <c r="D994">
        <v>0</v>
      </c>
      <c r="E994">
        <v>0</v>
      </c>
      <c r="F994">
        <v>0</v>
      </c>
      <c r="G994">
        <v>0</v>
      </c>
      <c r="H994">
        <v>0</v>
      </c>
      <c r="I994">
        <v>0</v>
      </c>
      <c r="J994">
        <v>0</v>
      </c>
      <c r="K994">
        <v>0</v>
      </c>
      <c r="L994">
        <v>0</v>
      </c>
      <c r="M994">
        <v>0</v>
      </c>
      <c r="N994">
        <v>0</v>
      </c>
    </row>
    <row r="995" spans="1:14" ht="12.75" x14ac:dyDescent="0.2">
      <c r="A995">
        <v>6952</v>
      </c>
      <c r="B995" s="342">
        <v>63460</v>
      </c>
      <c r="C995" t="s">
        <v>1427</v>
      </c>
      <c r="D995">
        <v>231.03</v>
      </c>
      <c r="E995">
        <v>769.93</v>
      </c>
      <c r="F995">
        <v>1000</v>
      </c>
      <c r="G995">
        <v>791.02</v>
      </c>
      <c r="H995">
        <v>791.02</v>
      </c>
      <c r="I995">
        <v>1000</v>
      </c>
      <c r="J995">
        <v>231.03</v>
      </c>
      <c r="K995">
        <v>769.93</v>
      </c>
      <c r="L995">
        <v>791.02</v>
      </c>
      <c r="M995">
        <v>791.02</v>
      </c>
      <c r="N995">
        <v>0</v>
      </c>
    </row>
    <row r="996" spans="1:14" ht="12.75" x14ac:dyDescent="0.2">
      <c r="A996">
        <v>6952</v>
      </c>
      <c r="B996" s="342">
        <v>63465</v>
      </c>
      <c r="C996" t="s">
        <v>1428</v>
      </c>
      <c r="D996">
        <v>0</v>
      </c>
      <c r="E996">
        <v>21.74</v>
      </c>
      <c r="F996">
        <v>200</v>
      </c>
      <c r="G996">
        <v>0</v>
      </c>
      <c r="H996">
        <v>0</v>
      </c>
      <c r="I996">
        <v>200</v>
      </c>
      <c r="J996">
        <v>0</v>
      </c>
      <c r="K996">
        <v>21.74</v>
      </c>
      <c r="L996">
        <v>0</v>
      </c>
      <c r="M996">
        <v>0</v>
      </c>
      <c r="N996">
        <v>0</v>
      </c>
    </row>
    <row r="997" spans="1:14" ht="12.75" x14ac:dyDescent="0.2">
      <c r="A997">
        <v>6952</v>
      </c>
      <c r="B997" s="342">
        <v>63500</v>
      </c>
      <c r="C997" t="s">
        <v>1429</v>
      </c>
      <c r="D997">
        <v>7116.03</v>
      </c>
      <c r="E997">
        <v>41672.730000000003</v>
      </c>
      <c r="F997">
        <v>38477</v>
      </c>
      <c r="G997">
        <v>37865.410000000003</v>
      </c>
      <c r="H997">
        <v>37865.410000000003</v>
      </c>
      <c r="I997">
        <v>38477</v>
      </c>
      <c r="J997">
        <v>7116.03</v>
      </c>
      <c r="K997">
        <v>41672.730000000003</v>
      </c>
      <c r="L997">
        <v>37865.410000000003</v>
      </c>
      <c r="M997">
        <v>37865.410000000003</v>
      </c>
      <c r="N997">
        <v>0</v>
      </c>
    </row>
    <row r="998" spans="1:14" ht="12.75" x14ac:dyDescent="0.2">
      <c r="A998">
        <v>6952</v>
      </c>
      <c r="B998" s="342">
        <v>63550</v>
      </c>
      <c r="C998" t="s">
        <v>1430</v>
      </c>
      <c r="D998">
        <v>0</v>
      </c>
      <c r="E998">
        <v>0</v>
      </c>
      <c r="F998">
        <v>0</v>
      </c>
      <c r="G998">
        <v>0</v>
      </c>
      <c r="H998">
        <v>0</v>
      </c>
      <c r="I998">
        <v>0</v>
      </c>
      <c r="J998">
        <v>0</v>
      </c>
      <c r="K998">
        <v>0</v>
      </c>
      <c r="L998">
        <v>0</v>
      </c>
      <c r="M998">
        <v>0</v>
      </c>
      <c r="N998">
        <v>0</v>
      </c>
    </row>
    <row r="999" spans="1:14" ht="12.75" x14ac:dyDescent="0.2">
      <c r="A999">
        <v>6952</v>
      </c>
      <c r="B999" s="342">
        <v>63560</v>
      </c>
      <c r="C999" t="s">
        <v>1431</v>
      </c>
      <c r="D999">
        <v>0</v>
      </c>
      <c r="E999">
        <v>0</v>
      </c>
      <c r="F999">
        <v>750</v>
      </c>
      <c r="G999">
        <v>46.52</v>
      </c>
      <c r="H999">
        <v>46.52</v>
      </c>
      <c r="I999">
        <v>750</v>
      </c>
      <c r="J999">
        <v>0</v>
      </c>
      <c r="K999">
        <v>0</v>
      </c>
      <c r="L999">
        <v>46.52</v>
      </c>
      <c r="M999">
        <v>46.52</v>
      </c>
      <c r="N999">
        <v>0</v>
      </c>
    </row>
    <row r="1000" spans="1:14" ht="12.75" x14ac:dyDescent="0.2">
      <c r="A1000">
        <v>6952</v>
      </c>
      <c r="B1000" s="342">
        <v>63570</v>
      </c>
      <c r="C1000" t="s">
        <v>1432</v>
      </c>
      <c r="D1000">
        <v>595.14</v>
      </c>
      <c r="E1000">
        <v>3364.09</v>
      </c>
      <c r="F1000">
        <v>4000</v>
      </c>
      <c r="G1000">
        <v>3242.41</v>
      </c>
      <c r="H1000">
        <v>3242.41</v>
      </c>
      <c r="I1000">
        <v>4000</v>
      </c>
      <c r="J1000">
        <v>595.14</v>
      </c>
      <c r="K1000">
        <v>3364.09</v>
      </c>
      <c r="L1000">
        <v>3242.41</v>
      </c>
      <c r="M1000">
        <v>3242.41</v>
      </c>
      <c r="N1000">
        <v>0</v>
      </c>
    </row>
    <row r="1001" spans="1:14" ht="12.75" x14ac:dyDescent="0.2">
      <c r="A1001">
        <v>6952</v>
      </c>
      <c r="B1001" s="342">
        <v>63580</v>
      </c>
      <c r="C1001" t="s">
        <v>1433</v>
      </c>
      <c r="D1001">
        <v>718.25</v>
      </c>
      <c r="E1001">
        <v>3820.35</v>
      </c>
      <c r="F1001">
        <v>5500</v>
      </c>
      <c r="G1001">
        <v>5240.8500000000004</v>
      </c>
      <c r="H1001">
        <v>5240.8500000000004</v>
      </c>
      <c r="I1001">
        <v>5500</v>
      </c>
      <c r="J1001">
        <v>718.25</v>
      </c>
      <c r="K1001">
        <v>3820.35</v>
      </c>
      <c r="L1001">
        <v>5240.8500000000004</v>
      </c>
      <c r="M1001">
        <v>5240.8500000000004</v>
      </c>
      <c r="N1001">
        <v>0</v>
      </c>
    </row>
    <row r="1002" spans="1:14" ht="12.75" x14ac:dyDescent="0.2">
      <c r="A1002">
        <v>6952</v>
      </c>
      <c r="B1002">
        <v>63999</v>
      </c>
      <c r="C1002" t="s">
        <v>1434</v>
      </c>
      <c r="D1002">
        <v>0</v>
      </c>
      <c r="E1002">
        <v>0</v>
      </c>
      <c r="F1002">
        <v>0</v>
      </c>
      <c r="G1002">
        <v>0</v>
      </c>
      <c r="H1002">
        <v>0</v>
      </c>
      <c r="I1002">
        <v>0</v>
      </c>
      <c r="J1002">
        <v>0</v>
      </c>
      <c r="K1002">
        <v>0</v>
      </c>
      <c r="L1002">
        <v>0</v>
      </c>
      <c r="M1002">
        <v>0</v>
      </c>
      <c r="N1002">
        <v>0</v>
      </c>
    </row>
    <row r="1003" spans="1:14" ht="12.75" x14ac:dyDescent="0.2">
      <c r="A1003">
        <v>6952</v>
      </c>
      <c r="B1003" s="342">
        <v>64000</v>
      </c>
      <c r="C1003" t="s">
        <v>1435</v>
      </c>
      <c r="D1003">
        <v>64.78</v>
      </c>
      <c r="E1003">
        <v>188.33</v>
      </c>
      <c r="F1003">
        <v>300</v>
      </c>
      <c r="G1003">
        <v>158.88</v>
      </c>
      <c r="H1003">
        <v>158.88</v>
      </c>
      <c r="I1003">
        <v>300</v>
      </c>
      <c r="J1003">
        <v>64.78</v>
      </c>
      <c r="K1003">
        <v>188.33</v>
      </c>
      <c r="L1003">
        <v>158.88</v>
      </c>
      <c r="M1003">
        <v>158.88</v>
      </c>
      <c r="N1003">
        <v>0</v>
      </c>
    </row>
    <row r="1004" spans="1:14" ht="12.75" x14ac:dyDescent="0.2">
      <c r="A1004">
        <v>6952</v>
      </c>
      <c r="B1004" s="342">
        <v>64050</v>
      </c>
      <c r="C1004" t="s">
        <v>1436</v>
      </c>
      <c r="D1004">
        <v>78.95</v>
      </c>
      <c r="E1004">
        <v>338.85</v>
      </c>
      <c r="F1004">
        <v>250</v>
      </c>
      <c r="G1004">
        <v>181.6</v>
      </c>
      <c r="H1004">
        <v>181.6</v>
      </c>
      <c r="I1004">
        <v>250</v>
      </c>
      <c r="J1004">
        <v>78.95</v>
      </c>
      <c r="K1004">
        <v>338.85</v>
      </c>
      <c r="L1004">
        <v>181.6</v>
      </c>
      <c r="M1004">
        <v>181.6</v>
      </c>
      <c r="N1004">
        <v>0</v>
      </c>
    </row>
    <row r="1005" spans="1:14" ht="12.75" x14ac:dyDescent="0.2">
      <c r="A1005">
        <v>6952</v>
      </c>
      <c r="B1005" s="342">
        <v>64200</v>
      </c>
      <c r="C1005" t="s">
        <v>1437</v>
      </c>
      <c r="D1005">
        <v>0</v>
      </c>
      <c r="E1005">
        <v>295.3</v>
      </c>
      <c r="F1005">
        <v>350</v>
      </c>
      <c r="G1005">
        <v>383.57</v>
      </c>
      <c r="H1005">
        <v>383.57</v>
      </c>
      <c r="I1005">
        <v>350</v>
      </c>
      <c r="J1005">
        <v>0</v>
      </c>
      <c r="K1005">
        <v>295.3</v>
      </c>
      <c r="L1005">
        <v>383.57</v>
      </c>
      <c r="M1005">
        <v>383.57</v>
      </c>
      <c r="N1005">
        <v>0</v>
      </c>
    </row>
    <row r="1006" spans="1:14" ht="12.75" x14ac:dyDescent="0.2">
      <c r="A1006">
        <v>6952</v>
      </c>
      <c r="B1006" s="342">
        <v>64250</v>
      </c>
      <c r="C1006" t="s">
        <v>1438</v>
      </c>
      <c r="D1006">
        <v>369.34</v>
      </c>
      <c r="E1006">
        <v>1285.54</v>
      </c>
      <c r="F1006">
        <v>1000</v>
      </c>
      <c r="G1006">
        <v>1154.5999999999999</v>
      </c>
      <c r="H1006">
        <v>1154.5999999999999</v>
      </c>
      <c r="I1006">
        <v>1000</v>
      </c>
      <c r="J1006">
        <v>369.34</v>
      </c>
      <c r="K1006">
        <v>1285.54</v>
      </c>
      <c r="L1006">
        <v>1154.5999999999999</v>
      </c>
      <c r="M1006">
        <v>1154.5999999999999</v>
      </c>
      <c r="N1006">
        <v>0</v>
      </c>
    </row>
    <row r="1007" spans="1:14" ht="12.75" x14ac:dyDescent="0.2">
      <c r="A1007">
        <v>6952</v>
      </c>
      <c r="B1007" s="342">
        <v>64300</v>
      </c>
      <c r="C1007" t="s">
        <v>1439</v>
      </c>
      <c r="D1007">
        <v>0</v>
      </c>
      <c r="E1007">
        <v>682.36</v>
      </c>
      <c r="F1007">
        <v>1000</v>
      </c>
      <c r="G1007">
        <v>1252.25</v>
      </c>
      <c r="H1007">
        <v>1252.25</v>
      </c>
      <c r="I1007">
        <v>1000</v>
      </c>
      <c r="J1007">
        <v>0</v>
      </c>
      <c r="K1007">
        <v>682.36</v>
      </c>
      <c r="L1007">
        <v>1252.25</v>
      </c>
      <c r="M1007">
        <v>1252.25</v>
      </c>
      <c r="N1007">
        <v>0</v>
      </c>
    </row>
    <row r="1008" spans="1:14" ht="12.75" x14ac:dyDescent="0.2">
      <c r="A1008">
        <v>6952</v>
      </c>
      <c r="B1008" s="342">
        <v>64350</v>
      </c>
      <c r="C1008" t="s">
        <v>1440</v>
      </c>
      <c r="D1008">
        <v>1423.54</v>
      </c>
      <c r="E1008">
        <v>9369.09</v>
      </c>
      <c r="F1008">
        <v>6000</v>
      </c>
      <c r="G1008">
        <v>6754.53</v>
      </c>
      <c r="H1008">
        <v>6754.53</v>
      </c>
      <c r="I1008">
        <v>6000</v>
      </c>
      <c r="J1008">
        <v>1423.54</v>
      </c>
      <c r="K1008">
        <v>9369.09</v>
      </c>
      <c r="L1008">
        <v>6811.05</v>
      </c>
      <c r="M1008">
        <v>6811.05</v>
      </c>
      <c r="N1008">
        <v>0</v>
      </c>
    </row>
    <row r="1009" spans="1:14" ht="12.75" x14ac:dyDescent="0.2">
      <c r="A1009">
        <v>6952</v>
      </c>
      <c r="B1009" s="342">
        <v>64400</v>
      </c>
      <c r="C1009" t="s">
        <v>1441</v>
      </c>
      <c r="D1009">
        <v>0</v>
      </c>
      <c r="E1009">
        <v>446.07</v>
      </c>
      <c r="F1009">
        <v>800</v>
      </c>
      <c r="G1009">
        <v>974.49</v>
      </c>
      <c r="H1009">
        <v>974.49</v>
      </c>
      <c r="I1009">
        <v>800</v>
      </c>
      <c r="J1009">
        <v>0</v>
      </c>
      <c r="K1009">
        <v>446.07</v>
      </c>
      <c r="L1009">
        <v>974.49</v>
      </c>
      <c r="M1009">
        <v>974.49</v>
      </c>
      <c r="N1009">
        <v>0</v>
      </c>
    </row>
    <row r="1010" spans="1:14" ht="12.75" x14ac:dyDescent="0.2">
      <c r="A1010">
        <v>6952</v>
      </c>
      <c r="B1010" s="342">
        <v>64450</v>
      </c>
      <c r="C1010" t="s">
        <v>1442</v>
      </c>
      <c r="D1010">
        <v>0</v>
      </c>
      <c r="E1010">
        <v>16.73</v>
      </c>
      <c r="F1010">
        <v>200</v>
      </c>
      <c r="G1010">
        <v>297.43</v>
      </c>
      <c r="H1010">
        <v>297.43</v>
      </c>
      <c r="I1010">
        <v>200</v>
      </c>
      <c r="J1010">
        <v>0</v>
      </c>
      <c r="K1010">
        <v>16.73</v>
      </c>
      <c r="L1010">
        <v>297.43</v>
      </c>
      <c r="M1010">
        <v>297.43</v>
      </c>
      <c r="N1010">
        <v>0</v>
      </c>
    </row>
    <row r="1011" spans="1:14" ht="12.75" x14ac:dyDescent="0.2">
      <c r="A1011">
        <v>6952</v>
      </c>
      <c r="B1011" s="342">
        <v>64460</v>
      </c>
      <c r="C1011" t="s">
        <v>1443</v>
      </c>
      <c r="D1011">
        <v>212.67</v>
      </c>
      <c r="E1011">
        <v>1520.69</v>
      </c>
      <c r="F1011">
        <v>2500</v>
      </c>
      <c r="G1011">
        <v>2304.5500000000002</v>
      </c>
      <c r="H1011">
        <v>2304.5500000000002</v>
      </c>
      <c r="I1011">
        <v>2500</v>
      </c>
      <c r="J1011">
        <v>212.67</v>
      </c>
      <c r="K1011">
        <v>1520.69</v>
      </c>
      <c r="L1011">
        <v>2304.5500000000002</v>
      </c>
      <c r="M1011">
        <v>2304.5500000000002</v>
      </c>
      <c r="N1011">
        <v>0</v>
      </c>
    </row>
    <row r="1012" spans="1:14" ht="12.75" x14ac:dyDescent="0.2">
      <c r="A1012">
        <v>6952</v>
      </c>
      <c r="B1012" s="342">
        <v>64465</v>
      </c>
      <c r="C1012" t="s">
        <v>1444</v>
      </c>
      <c r="D1012">
        <v>0</v>
      </c>
      <c r="E1012">
        <v>185.38</v>
      </c>
      <c r="F1012">
        <v>200</v>
      </c>
      <c r="G1012">
        <v>43.48</v>
      </c>
      <c r="H1012">
        <v>43.48</v>
      </c>
      <c r="I1012">
        <v>200</v>
      </c>
      <c r="J1012">
        <v>0</v>
      </c>
      <c r="K1012">
        <v>185.38</v>
      </c>
      <c r="L1012">
        <v>43.48</v>
      </c>
      <c r="M1012">
        <v>43.48</v>
      </c>
      <c r="N1012">
        <v>0</v>
      </c>
    </row>
    <row r="1013" spans="1:14" ht="12.75" x14ac:dyDescent="0.2">
      <c r="A1013">
        <v>6952</v>
      </c>
      <c r="B1013">
        <v>64499</v>
      </c>
      <c r="C1013" t="s">
        <v>1445</v>
      </c>
      <c r="D1013">
        <v>0</v>
      </c>
      <c r="E1013">
        <v>0</v>
      </c>
      <c r="F1013">
        <v>0</v>
      </c>
      <c r="G1013">
        <v>0</v>
      </c>
      <c r="H1013">
        <v>0</v>
      </c>
      <c r="I1013">
        <v>0</v>
      </c>
      <c r="J1013">
        <v>0</v>
      </c>
      <c r="K1013">
        <v>0</v>
      </c>
      <c r="L1013">
        <v>0</v>
      </c>
      <c r="M1013">
        <v>0</v>
      </c>
      <c r="N1013">
        <v>0</v>
      </c>
    </row>
    <row r="1014" spans="1:14" ht="12.75" x14ac:dyDescent="0.2">
      <c r="A1014">
        <v>6952</v>
      </c>
      <c r="B1014" s="342">
        <v>64500</v>
      </c>
      <c r="C1014" t="s">
        <v>329</v>
      </c>
      <c r="D1014">
        <v>4614.33</v>
      </c>
      <c r="E1014">
        <v>27731.27</v>
      </c>
      <c r="F1014">
        <v>24867</v>
      </c>
      <c r="G1014">
        <v>22650.94</v>
      </c>
      <c r="H1014">
        <v>22650.94</v>
      </c>
      <c r="I1014">
        <v>24867</v>
      </c>
      <c r="J1014">
        <v>4614.33</v>
      </c>
      <c r="K1014">
        <v>27731.27</v>
      </c>
      <c r="L1014">
        <v>22650.94</v>
      </c>
      <c r="M1014">
        <v>22650.94</v>
      </c>
      <c r="N1014">
        <v>0</v>
      </c>
    </row>
    <row r="1015" spans="1:14" ht="12.75" x14ac:dyDescent="0.2">
      <c r="A1015">
        <v>6952</v>
      </c>
      <c r="B1015" s="342">
        <v>64550</v>
      </c>
      <c r="C1015" t="s">
        <v>677</v>
      </c>
      <c r="D1015">
        <v>0</v>
      </c>
      <c r="E1015">
        <v>0</v>
      </c>
      <c r="F1015">
        <v>0</v>
      </c>
      <c r="G1015">
        <v>0</v>
      </c>
      <c r="H1015">
        <v>0</v>
      </c>
      <c r="I1015">
        <v>0</v>
      </c>
      <c r="J1015">
        <v>0</v>
      </c>
      <c r="K1015">
        <v>0</v>
      </c>
      <c r="L1015">
        <v>0</v>
      </c>
      <c r="M1015">
        <v>0</v>
      </c>
      <c r="N1015">
        <v>0</v>
      </c>
    </row>
    <row r="1016" spans="1:14" ht="12.75" x14ac:dyDescent="0.2">
      <c r="A1016">
        <v>6952</v>
      </c>
      <c r="B1016" s="342">
        <v>64560</v>
      </c>
      <c r="C1016" t="s">
        <v>372</v>
      </c>
      <c r="D1016">
        <v>182.61</v>
      </c>
      <c r="E1016">
        <v>736.36</v>
      </c>
      <c r="F1016">
        <v>2000</v>
      </c>
      <c r="G1016">
        <v>1454.9</v>
      </c>
      <c r="H1016">
        <v>1454.9</v>
      </c>
      <c r="I1016">
        <v>2000</v>
      </c>
      <c r="J1016">
        <v>182.61</v>
      </c>
      <c r="K1016">
        <v>736.36</v>
      </c>
      <c r="L1016">
        <v>1454.9</v>
      </c>
      <c r="M1016">
        <v>1454.9</v>
      </c>
      <c r="N1016">
        <v>0</v>
      </c>
    </row>
    <row r="1017" spans="1:14" ht="12.75" x14ac:dyDescent="0.2">
      <c r="A1017">
        <v>6952</v>
      </c>
      <c r="B1017" s="342">
        <v>64570</v>
      </c>
      <c r="C1017" t="s">
        <v>373</v>
      </c>
      <c r="D1017">
        <v>1073.3599999999999</v>
      </c>
      <c r="E1017">
        <v>5492.29</v>
      </c>
      <c r="F1017">
        <v>4000</v>
      </c>
      <c r="G1017">
        <v>7527.15</v>
      </c>
      <c r="H1017">
        <v>7527.15</v>
      </c>
      <c r="I1017">
        <v>4000</v>
      </c>
      <c r="J1017">
        <v>1073.3599999999999</v>
      </c>
      <c r="K1017">
        <v>5492.29</v>
      </c>
      <c r="L1017">
        <v>7527.15</v>
      </c>
      <c r="M1017">
        <v>7527.15</v>
      </c>
      <c r="N1017">
        <v>0</v>
      </c>
    </row>
    <row r="1018" spans="1:14" ht="12.75" x14ac:dyDescent="0.2">
      <c r="A1018">
        <v>6952</v>
      </c>
      <c r="B1018" s="342">
        <v>64580</v>
      </c>
      <c r="C1018" t="s">
        <v>333</v>
      </c>
      <c r="D1018">
        <v>359.43</v>
      </c>
      <c r="E1018">
        <v>3149.33</v>
      </c>
      <c r="F1018">
        <v>4000</v>
      </c>
      <c r="G1018">
        <v>3220.65</v>
      </c>
      <c r="H1018">
        <v>3220.65</v>
      </c>
      <c r="I1018">
        <v>4000</v>
      </c>
      <c r="J1018">
        <v>359.43</v>
      </c>
      <c r="K1018">
        <v>3149.33</v>
      </c>
      <c r="L1018">
        <v>3220.65</v>
      </c>
      <c r="M1018">
        <v>3220.65</v>
      </c>
      <c r="N1018">
        <v>0</v>
      </c>
    </row>
    <row r="1019" spans="1:14" ht="12.75" x14ac:dyDescent="0.2">
      <c r="A1019">
        <v>6952</v>
      </c>
      <c r="B1019">
        <v>65000</v>
      </c>
      <c r="C1019" t="s">
        <v>1676</v>
      </c>
      <c r="D1019">
        <v>0</v>
      </c>
      <c r="E1019">
        <v>0</v>
      </c>
      <c r="F1019">
        <v>0</v>
      </c>
      <c r="G1019">
        <v>0</v>
      </c>
      <c r="H1019">
        <v>0</v>
      </c>
      <c r="I1019">
        <v>0</v>
      </c>
      <c r="J1019">
        <v>0</v>
      </c>
      <c r="K1019">
        <v>0</v>
      </c>
      <c r="L1019">
        <v>0</v>
      </c>
      <c r="M1019">
        <v>0</v>
      </c>
      <c r="N1019">
        <v>0</v>
      </c>
    </row>
    <row r="1020" spans="1:14" ht="12.75" x14ac:dyDescent="0.2">
      <c r="A1020">
        <v>6952</v>
      </c>
      <c r="B1020">
        <v>65001</v>
      </c>
      <c r="C1020" t="s">
        <v>1677</v>
      </c>
      <c r="D1020">
        <v>0</v>
      </c>
      <c r="E1020">
        <v>0</v>
      </c>
      <c r="F1020">
        <v>0</v>
      </c>
      <c r="G1020">
        <v>0</v>
      </c>
      <c r="H1020">
        <v>0</v>
      </c>
      <c r="I1020">
        <v>0</v>
      </c>
      <c r="J1020">
        <v>0</v>
      </c>
      <c r="K1020">
        <v>0</v>
      </c>
      <c r="L1020">
        <v>0</v>
      </c>
      <c r="M1020">
        <v>0</v>
      </c>
      <c r="N1020">
        <v>0</v>
      </c>
    </row>
    <row r="1021" spans="1:14" ht="12.75" x14ac:dyDescent="0.2">
      <c r="A1021">
        <v>6952</v>
      </c>
      <c r="B1021">
        <v>65002</v>
      </c>
      <c r="C1021" t="s">
        <v>1678</v>
      </c>
      <c r="D1021">
        <v>0</v>
      </c>
      <c r="E1021">
        <v>0</v>
      </c>
      <c r="F1021">
        <v>0</v>
      </c>
      <c r="G1021">
        <v>0</v>
      </c>
      <c r="H1021">
        <v>0</v>
      </c>
      <c r="I1021">
        <v>0</v>
      </c>
      <c r="J1021">
        <v>0</v>
      </c>
      <c r="K1021">
        <v>0</v>
      </c>
      <c r="L1021">
        <v>0</v>
      </c>
      <c r="M1021">
        <v>0</v>
      </c>
      <c r="N1021">
        <v>0</v>
      </c>
    </row>
    <row r="1022" spans="1:14" ht="12.75" x14ac:dyDescent="0.2">
      <c r="A1022">
        <v>6952</v>
      </c>
      <c r="B1022">
        <v>65003</v>
      </c>
      <c r="C1022" t="s">
        <v>1556</v>
      </c>
      <c r="D1022">
        <v>0</v>
      </c>
      <c r="E1022">
        <v>0</v>
      </c>
      <c r="F1022">
        <v>0</v>
      </c>
      <c r="G1022">
        <v>0</v>
      </c>
      <c r="H1022">
        <v>0</v>
      </c>
      <c r="I1022">
        <v>0</v>
      </c>
      <c r="J1022">
        <v>0</v>
      </c>
      <c r="K1022">
        <v>0</v>
      </c>
      <c r="L1022">
        <v>0</v>
      </c>
      <c r="M1022">
        <v>0</v>
      </c>
      <c r="N1022">
        <v>0</v>
      </c>
    </row>
    <row r="1023" spans="1:14" ht="12.75" x14ac:dyDescent="0.2">
      <c r="A1023">
        <v>6952</v>
      </c>
      <c r="B1023">
        <v>65004</v>
      </c>
      <c r="C1023" t="s">
        <v>1679</v>
      </c>
      <c r="D1023">
        <v>0</v>
      </c>
      <c r="E1023">
        <v>0</v>
      </c>
      <c r="F1023">
        <v>0</v>
      </c>
      <c r="G1023">
        <v>0</v>
      </c>
      <c r="H1023">
        <v>0</v>
      </c>
      <c r="I1023">
        <v>0</v>
      </c>
      <c r="J1023">
        <v>0</v>
      </c>
      <c r="K1023">
        <v>0</v>
      </c>
      <c r="L1023">
        <v>0</v>
      </c>
      <c r="M1023">
        <v>0</v>
      </c>
      <c r="N1023">
        <v>0</v>
      </c>
    </row>
    <row r="1024" spans="1:14" ht="12.75" x14ac:dyDescent="0.2">
      <c r="A1024">
        <v>6952</v>
      </c>
      <c r="B1024">
        <v>65005</v>
      </c>
      <c r="C1024" t="s">
        <v>1680</v>
      </c>
      <c r="D1024">
        <v>0</v>
      </c>
      <c r="E1024">
        <v>0</v>
      </c>
      <c r="F1024">
        <v>0</v>
      </c>
      <c r="G1024">
        <v>0</v>
      </c>
      <c r="H1024">
        <v>0</v>
      </c>
      <c r="I1024">
        <v>0</v>
      </c>
      <c r="J1024">
        <v>0</v>
      </c>
      <c r="K1024">
        <v>0</v>
      </c>
      <c r="L1024">
        <v>0</v>
      </c>
      <c r="M1024">
        <v>0</v>
      </c>
      <c r="N1024">
        <v>0</v>
      </c>
    </row>
    <row r="1025" spans="1:14" ht="12.75" x14ac:dyDescent="0.2">
      <c r="A1025">
        <v>6952</v>
      </c>
      <c r="B1025">
        <v>65010</v>
      </c>
      <c r="C1025" t="s">
        <v>1044</v>
      </c>
      <c r="D1025">
        <v>0</v>
      </c>
      <c r="E1025">
        <v>0</v>
      </c>
      <c r="F1025">
        <v>0</v>
      </c>
      <c r="G1025">
        <v>0</v>
      </c>
      <c r="H1025">
        <v>0</v>
      </c>
      <c r="I1025">
        <v>0</v>
      </c>
      <c r="J1025">
        <v>0</v>
      </c>
      <c r="K1025">
        <v>0</v>
      </c>
      <c r="L1025">
        <v>0</v>
      </c>
      <c r="M1025">
        <v>0</v>
      </c>
      <c r="N1025">
        <v>0</v>
      </c>
    </row>
    <row r="1026" spans="1:14" ht="12.75" x14ac:dyDescent="0.2">
      <c r="A1026">
        <v>6952</v>
      </c>
      <c r="B1026">
        <v>65011</v>
      </c>
      <c r="C1026" t="s">
        <v>319</v>
      </c>
      <c r="D1026">
        <v>0</v>
      </c>
      <c r="E1026">
        <v>0</v>
      </c>
      <c r="F1026">
        <v>0</v>
      </c>
      <c r="G1026">
        <v>0</v>
      </c>
      <c r="H1026">
        <v>0</v>
      </c>
      <c r="I1026">
        <v>0</v>
      </c>
      <c r="J1026">
        <v>0</v>
      </c>
      <c r="K1026">
        <v>0</v>
      </c>
      <c r="L1026">
        <v>0</v>
      </c>
      <c r="M1026">
        <v>0</v>
      </c>
      <c r="N1026">
        <v>0</v>
      </c>
    </row>
    <row r="1027" spans="1:14" ht="12.75" x14ac:dyDescent="0.2">
      <c r="A1027">
        <v>6952</v>
      </c>
      <c r="B1027">
        <v>65012</v>
      </c>
      <c r="C1027" t="s">
        <v>619</v>
      </c>
      <c r="D1027">
        <v>0</v>
      </c>
      <c r="E1027">
        <v>0</v>
      </c>
      <c r="F1027">
        <v>0</v>
      </c>
      <c r="G1027">
        <v>0</v>
      </c>
      <c r="H1027">
        <v>0</v>
      </c>
      <c r="I1027">
        <v>0</v>
      </c>
      <c r="J1027">
        <v>0</v>
      </c>
      <c r="K1027">
        <v>0</v>
      </c>
      <c r="L1027">
        <v>0</v>
      </c>
      <c r="M1027">
        <v>0</v>
      </c>
      <c r="N1027">
        <v>0</v>
      </c>
    </row>
    <row r="1028" spans="1:14" ht="12.75" x14ac:dyDescent="0.2">
      <c r="A1028">
        <v>6952</v>
      </c>
      <c r="B1028">
        <v>65013</v>
      </c>
      <c r="C1028" t="s">
        <v>1681</v>
      </c>
      <c r="D1028">
        <v>0</v>
      </c>
      <c r="E1028">
        <v>0</v>
      </c>
      <c r="F1028">
        <v>0</v>
      </c>
      <c r="G1028">
        <v>0</v>
      </c>
      <c r="H1028">
        <v>0</v>
      </c>
      <c r="I1028">
        <v>0</v>
      </c>
      <c r="J1028">
        <v>0</v>
      </c>
      <c r="K1028">
        <v>0</v>
      </c>
      <c r="L1028">
        <v>0</v>
      </c>
      <c r="M1028">
        <v>0</v>
      </c>
      <c r="N1028">
        <v>0</v>
      </c>
    </row>
    <row r="1029" spans="1:14" ht="12.75" x14ac:dyDescent="0.2">
      <c r="A1029">
        <v>6952</v>
      </c>
      <c r="B1029">
        <v>65014</v>
      </c>
      <c r="C1029" t="s">
        <v>1682</v>
      </c>
      <c r="D1029">
        <v>0</v>
      </c>
      <c r="E1029">
        <v>0</v>
      </c>
      <c r="F1029">
        <v>0</v>
      </c>
      <c r="G1029">
        <v>0</v>
      </c>
      <c r="H1029">
        <v>0</v>
      </c>
      <c r="I1029">
        <v>0</v>
      </c>
      <c r="J1029">
        <v>0</v>
      </c>
      <c r="K1029">
        <v>0</v>
      </c>
      <c r="L1029">
        <v>0</v>
      </c>
      <c r="M1029">
        <v>0</v>
      </c>
      <c r="N1029">
        <v>0</v>
      </c>
    </row>
    <row r="1030" spans="1:14" ht="12.75" x14ac:dyDescent="0.2">
      <c r="A1030">
        <v>6952</v>
      </c>
      <c r="B1030">
        <v>65050</v>
      </c>
      <c r="C1030" t="s">
        <v>1683</v>
      </c>
      <c r="D1030">
        <v>0</v>
      </c>
      <c r="E1030">
        <v>0</v>
      </c>
      <c r="F1030">
        <v>0</v>
      </c>
      <c r="G1030">
        <v>0</v>
      </c>
      <c r="H1030">
        <v>0</v>
      </c>
      <c r="I1030">
        <v>0</v>
      </c>
      <c r="J1030">
        <v>0</v>
      </c>
      <c r="K1030">
        <v>0</v>
      </c>
      <c r="L1030">
        <v>0</v>
      </c>
      <c r="M1030">
        <v>0</v>
      </c>
      <c r="N1030">
        <v>0</v>
      </c>
    </row>
    <row r="1031" spans="1:14" ht="12.75" x14ac:dyDescent="0.2">
      <c r="A1031">
        <v>6952</v>
      </c>
      <c r="B1031">
        <v>65051</v>
      </c>
      <c r="C1031" t="s">
        <v>1684</v>
      </c>
      <c r="D1031">
        <v>0</v>
      </c>
      <c r="E1031">
        <v>0</v>
      </c>
      <c r="F1031">
        <v>0</v>
      </c>
      <c r="G1031">
        <v>0</v>
      </c>
      <c r="H1031">
        <v>0</v>
      </c>
      <c r="I1031">
        <v>0</v>
      </c>
      <c r="J1031">
        <v>0</v>
      </c>
      <c r="K1031">
        <v>0</v>
      </c>
      <c r="L1031">
        <v>0</v>
      </c>
      <c r="M1031">
        <v>0</v>
      </c>
      <c r="N1031">
        <v>0</v>
      </c>
    </row>
    <row r="1032" spans="1:14" ht="12.75" x14ac:dyDescent="0.2">
      <c r="A1032">
        <v>6952</v>
      </c>
      <c r="B1032">
        <v>65060</v>
      </c>
      <c r="C1032" t="s">
        <v>1685</v>
      </c>
      <c r="D1032">
        <v>0</v>
      </c>
      <c r="E1032">
        <v>0</v>
      </c>
      <c r="F1032">
        <v>0</v>
      </c>
      <c r="G1032">
        <v>0</v>
      </c>
      <c r="H1032">
        <v>0</v>
      </c>
      <c r="I1032">
        <v>0</v>
      </c>
      <c r="J1032">
        <v>0</v>
      </c>
      <c r="K1032">
        <v>0</v>
      </c>
      <c r="L1032">
        <v>0</v>
      </c>
      <c r="M1032">
        <v>0</v>
      </c>
      <c r="N1032">
        <v>0</v>
      </c>
    </row>
    <row r="1033" spans="1:14" ht="12.75" x14ac:dyDescent="0.2">
      <c r="A1033">
        <v>6952</v>
      </c>
      <c r="B1033">
        <v>65061</v>
      </c>
      <c r="C1033" t="s">
        <v>369</v>
      </c>
      <c r="D1033">
        <v>0</v>
      </c>
      <c r="E1033">
        <v>0</v>
      </c>
      <c r="F1033">
        <v>0</v>
      </c>
      <c r="G1033">
        <v>0</v>
      </c>
      <c r="H1033">
        <v>0</v>
      </c>
      <c r="I1033">
        <v>0</v>
      </c>
      <c r="J1033">
        <v>0</v>
      </c>
      <c r="K1033">
        <v>0</v>
      </c>
      <c r="L1033">
        <v>0</v>
      </c>
      <c r="M1033">
        <v>0</v>
      </c>
      <c r="N1033">
        <v>0</v>
      </c>
    </row>
    <row r="1034" spans="1:14" ht="12.75" x14ac:dyDescent="0.2">
      <c r="A1034">
        <v>6952</v>
      </c>
      <c r="B1034">
        <v>65062</v>
      </c>
      <c r="C1034" t="s">
        <v>1686</v>
      </c>
      <c r="D1034">
        <v>0</v>
      </c>
      <c r="E1034">
        <v>0</v>
      </c>
      <c r="F1034">
        <v>0</v>
      </c>
      <c r="G1034">
        <v>0</v>
      </c>
      <c r="H1034">
        <v>0</v>
      </c>
      <c r="I1034">
        <v>0</v>
      </c>
      <c r="J1034">
        <v>0</v>
      </c>
      <c r="K1034">
        <v>0</v>
      </c>
      <c r="L1034">
        <v>0</v>
      </c>
      <c r="M1034">
        <v>0</v>
      </c>
      <c r="N1034">
        <v>0</v>
      </c>
    </row>
    <row r="1035" spans="1:14" ht="12.75" x14ac:dyDescent="0.2">
      <c r="A1035">
        <v>6952</v>
      </c>
      <c r="B1035" s="342">
        <v>9000</v>
      </c>
      <c r="C1035" t="s">
        <v>508</v>
      </c>
      <c r="D1035">
        <v>-471775.17</v>
      </c>
      <c r="E1035">
        <v>65130.05</v>
      </c>
      <c r="F1035">
        <v>2058441</v>
      </c>
      <c r="G1035">
        <v>165636.91</v>
      </c>
      <c r="H1035">
        <v>165636.91</v>
      </c>
      <c r="I1035">
        <v>2058441</v>
      </c>
      <c r="J1035">
        <v>-471775.17</v>
      </c>
      <c r="K1035">
        <v>23176417.309999999</v>
      </c>
      <c r="L1035">
        <v>17232172.699999999</v>
      </c>
      <c r="M1035">
        <v>17232172.699999999</v>
      </c>
      <c r="N1035">
        <v>0</v>
      </c>
    </row>
    <row r="1036" spans="1:14" ht="12.75" x14ac:dyDescent="0.2">
      <c r="A1036">
        <v>6952</v>
      </c>
      <c r="B1036" s="342">
        <v>9001</v>
      </c>
      <c r="C1036" t="s">
        <v>963</v>
      </c>
      <c r="D1036">
        <v>-599249.5</v>
      </c>
      <c r="E1036">
        <v>139319.54</v>
      </c>
      <c r="F1036">
        <v>100000</v>
      </c>
      <c r="G1036">
        <v>111302.83</v>
      </c>
      <c r="H1036">
        <v>111302.83</v>
      </c>
      <c r="I1036">
        <v>100000</v>
      </c>
      <c r="J1036">
        <v>-599249.5</v>
      </c>
      <c r="K1036">
        <v>1930850.1</v>
      </c>
      <c r="L1036">
        <v>2754762.49</v>
      </c>
      <c r="M1036">
        <v>2754762.49</v>
      </c>
      <c r="N1036">
        <v>0</v>
      </c>
    </row>
    <row r="1037" spans="1:14" ht="12.75" x14ac:dyDescent="0.2">
      <c r="A1037">
        <v>6952</v>
      </c>
      <c r="B1037" s="342">
        <v>9002</v>
      </c>
      <c r="C1037" t="s">
        <v>687</v>
      </c>
      <c r="D1037">
        <v>0</v>
      </c>
      <c r="E1037">
        <v>0</v>
      </c>
      <c r="F1037">
        <v>0</v>
      </c>
      <c r="G1037">
        <v>0</v>
      </c>
      <c r="H1037">
        <v>0</v>
      </c>
      <c r="I1037">
        <v>0</v>
      </c>
      <c r="J1037">
        <v>0</v>
      </c>
      <c r="K1037">
        <v>0</v>
      </c>
      <c r="L1037">
        <v>0</v>
      </c>
      <c r="M1037">
        <v>0</v>
      </c>
      <c r="N1037">
        <v>0</v>
      </c>
    </row>
    <row r="1038" spans="1:14" ht="12.75" x14ac:dyDescent="0.2">
      <c r="A1038">
        <v>6952</v>
      </c>
      <c r="B1038" s="342">
        <v>9003</v>
      </c>
      <c r="C1038" t="s">
        <v>699</v>
      </c>
      <c r="D1038">
        <v>0</v>
      </c>
      <c r="E1038">
        <v>0</v>
      </c>
      <c r="F1038">
        <v>0</v>
      </c>
      <c r="G1038">
        <v>0</v>
      </c>
      <c r="H1038">
        <v>0</v>
      </c>
      <c r="I1038">
        <v>0</v>
      </c>
      <c r="J1038">
        <v>0</v>
      </c>
      <c r="K1038">
        <v>0</v>
      </c>
      <c r="L1038">
        <v>0</v>
      </c>
      <c r="M1038">
        <v>0</v>
      </c>
      <c r="N1038">
        <v>0</v>
      </c>
    </row>
    <row r="1039" spans="1:14" ht="12.75" x14ac:dyDescent="0.2">
      <c r="A1039">
        <v>6952</v>
      </c>
      <c r="B1039" s="342">
        <v>9006</v>
      </c>
      <c r="C1039" t="s">
        <v>692</v>
      </c>
      <c r="D1039">
        <v>0</v>
      </c>
      <c r="E1039">
        <v>850594.91</v>
      </c>
      <c r="F1039">
        <v>6090750</v>
      </c>
      <c r="G1039">
        <v>850594.91</v>
      </c>
      <c r="H1039">
        <v>850594.91</v>
      </c>
      <c r="I1039">
        <v>6090750</v>
      </c>
      <c r="J1039">
        <v>0</v>
      </c>
      <c r="K1039">
        <v>7928.01</v>
      </c>
      <c r="L1039">
        <v>0</v>
      </c>
      <c r="M1039">
        <v>0</v>
      </c>
      <c r="N1039">
        <v>0</v>
      </c>
    </row>
    <row r="1040" spans="1:14" ht="12.75" x14ac:dyDescent="0.2">
      <c r="A1040">
        <v>6952</v>
      </c>
      <c r="B1040" s="342">
        <v>9007</v>
      </c>
      <c r="C1040" t="s">
        <v>693</v>
      </c>
      <c r="D1040">
        <v>0</v>
      </c>
      <c r="E1040">
        <v>465030.1</v>
      </c>
      <c r="F1040">
        <v>0</v>
      </c>
      <c r="G1040">
        <v>447893.55</v>
      </c>
      <c r="H1040">
        <v>447893.55</v>
      </c>
      <c r="I1040">
        <v>0</v>
      </c>
      <c r="J1040">
        <v>0</v>
      </c>
      <c r="K1040">
        <v>40691.339999999997</v>
      </c>
      <c r="L1040">
        <v>5536.95</v>
      </c>
      <c r="M1040">
        <v>5536.95</v>
      </c>
      <c r="N1040">
        <v>0</v>
      </c>
    </row>
    <row r="1041" spans="1:14" ht="12.75" x14ac:dyDescent="0.2">
      <c r="A1041">
        <v>6952</v>
      </c>
      <c r="B1041" s="342">
        <v>9008</v>
      </c>
      <c r="C1041" t="s">
        <v>694</v>
      </c>
      <c r="D1041">
        <v>0</v>
      </c>
      <c r="E1041">
        <v>560192.56000000006</v>
      </c>
      <c r="F1041">
        <v>0</v>
      </c>
      <c r="G1041">
        <v>542730.88</v>
      </c>
      <c r="H1041">
        <v>542730.88</v>
      </c>
      <c r="I1041">
        <v>0</v>
      </c>
      <c r="J1041">
        <v>0</v>
      </c>
      <c r="K1041">
        <v>17461.68</v>
      </c>
      <c r="L1041">
        <v>5842.35</v>
      </c>
      <c r="M1041">
        <v>5842.35</v>
      </c>
      <c r="N1041">
        <v>0</v>
      </c>
    </row>
    <row r="1042" spans="1:14" ht="12.75" x14ac:dyDescent="0.2">
      <c r="A1042">
        <v>6952</v>
      </c>
      <c r="B1042" s="342">
        <v>9009</v>
      </c>
      <c r="C1042" t="s">
        <v>695</v>
      </c>
      <c r="D1042">
        <v>0</v>
      </c>
      <c r="E1042">
        <v>1000000</v>
      </c>
      <c r="F1042">
        <v>0</v>
      </c>
      <c r="G1042">
        <v>0</v>
      </c>
      <c r="H1042">
        <v>0</v>
      </c>
      <c r="I1042">
        <v>0</v>
      </c>
      <c r="J1042">
        <v>0</v>
      </c>
      <c r="K1042">
        <v>1000000</v>
      </c>
      <c r="L1042">
        <v>0</v>
      </c>
      <c r="M1042">
        <v>0</v>
      </c>
      <c r="N1042">
        <v>0</v>
      </c>
    </row>
    <row r="1043" spans="1:14" ht="12.75" x14ac:dyDescent="0.2">
      <c r="A1043">
        <v>6952</v>
      </c>
      <c r="B1043" s="342">
        <v>9010</v>
      </c>
      <c r="C1043" t="s">
        <v>696</v>
      </c>
      <c r="D1043">
        <v>0</v>
      </c>
      <c r="E1043">
        <v>0</v>
      </c>
      <c r="F1043">
        <v>0</v>
      </c>
      <c r="G1043">
        <v>959662.66</v>
      </c>
      <c r="H1043">
        <v>959662.66</v>
      </c>
      <c r="I1043">
        <v>0</v>
      </c>
      <c r="J1043">
        <v>0</v>
      </c>
      <c r="K1043">
        <v>17465.86</v>
      </c>
      <c r="L1043">
        <v>15178.76</v>
      </c>
      <c r="M1043">
        <v>15178.76</v>
      </c>
      <c r="N1043">
        <v>0</v>
      </c>
    </row>
    <row r="1044" spans="1:14" ht="12.75" x14ac:dyDescent="0.2">
      <c r="A1044">
        <v>6952</v>
      </c>
      <c r="B1044" s="342">
        <v>9012</v>
      </c>
      <c r="C1044" t="s">
        <v>688</v>
      </c>
      <c r="D1044">
        <v>0</v>
      </c>
      <c r="E1044">
        <v>1023554.79</v>
      </c>
      <c r="F1044">
        <v>0</v>
      </c>
      <c r="G1044">
        <v>1000000</v>
      </c>
      <c r="H1044">
        <v>1000000</v>
      </c>
      <c r="I1044">
        <v>0</v>
      </c>
      <c r="J1044">
        <v>0</v>
      </c>
      <c r="K1044">
        <v>1029100</v>
      </c>
      <c r="L1044">
        <v>0</v>
      </c>
      <c r="M1044">
        <v>0</v>
      </c>
      <c r="N1044">
        <v>0</v>
      </c>
    </row>
    <row r="1045" spans="1:14" ht="12.75" x14ac:dyDescent="0.2">
      <c r="A1045">
        <v>6952</v>
      </c>
      <c r="B1045" s="342">
        <v>9013</v>
      </c>
      <c r="C1045" t="s">
        <v>698</v>
      </c>
      <c r="D1045">
        <v>0</v>
      </c>
      <c r="E1045">
        <v>2000000</v>
      </c>
      <c r="F1045">
        <v>0</v>
      </c>
      <c r="G1045">
        <v>1000000</v>
      </c>
      <c r="H1045">
        <v>1000000</v>
      </c>
      <c r="I1045">
        <v>0</v>
      </c>
      <c r="J1045">
        <v>0</v>
      </c>
      <c r="K1045">
        <v>2000000</v>
      </c>
      <c r="L1045">
        <v>1000000</v>
      </c>
      <c r="M1045">
        <v>1000000</v>
      </c>
      <c r="N1045">
        <v>0</v>
      </c>
    </row>
    <row r="1046" spans="1:14" ht="12.75" x14ac:dyDescent="0.2">
      <c r="A1046">
        <v>6952</v>
      </c>
      <c r="B1046" s="342">
        <v>9014</v>
      </c>
      <c r="C1046" t="s">
        <v>689</v>
      </c>
      <c r="D1046">
        <v>0</v>
      </c>
      <c r="E1046">
        <v>1000000</v>
      </c>
      <c r="F1046">
        <v>0</v>
      </c>
      <c r="G1046">
        <v>1000000</v>
      </c>
      <c r="H1046">
        <v>1000000</v>
      </c>
      <c r="I1046">
        <v>0</v>
      </c>
      <c r="J1046">
        <v>0</v>
      </c>
      <c r="K1046">
        <v>1008424.66</v>
      </c>
      <c r="L1046">
        <v>2350000</v>
      </c>
      <c r="M1046">
        <v>2350000</v>
      </c>
      <c r="N1046">
        <v>0</v>
      </c>
    </row>
    <row r="1047" spans="1:14" ht="12.75" x14ac:dyDescent="0.2">
      <c r="A1047">
        <v>6952</v>
      </c>
      <c r="B1047" s="342">
        <v>9015</v>
      </c>
      <c r="C1047" t="s">
        <v>690</v>
      </c>
      <c r="D1047">
        <v>0</v>
      </c>
      <c r="E1047">
        <v>635871.61</v>
      </c>
      <c r="F1047">
        <v>0</v>
      </c>
      <c r="G1047">
        <v>598607.26</v>
      </c>
      <c r="H1047">
        <v>598607.26</v>
      </c>
      <c r="I1047">
        <v>0</v>
      </c>
      <c r="J1047">
        <v>0</v>
      </c>
      <c r="K1047">
        <v>37264.35</v>
      </c>
      <c r="L1047">
        <v>9193.92</v>
      </c>
      <c r="M1047">
        <v>9193.92</v>
      </c>
      <c r="N1047">
        <v>0</v>
      </c>
    </row>
    <row r="1048" spans="1:14" ht="12.75" x14ac:dyDescent="0.2">
      <c r="A1048">
        <v>6952</v>
      </c>
      <c r="B1048" s="342">
        <v>9016</v>
      </c>
      <c r="C1048" t="s">
        <v>701</v>
      </c>
      <c r="D1048">
        <v>0</v>
      </c>
      <c r="E1048">
        <v>29359.200000000001</v>
      </c>
      <c r="F1048">
        <v>0</v>
      </c>
      <c r="G1048">
        <v>28059.439999999999</v>
      </c>
      <c r="H1048">
        <v>28059.439999999999</v>
      </c>
      <c r="I1048">
        <v>0</v>
      </c>
      <c r="J1048">
        <v>0</v>
      </c>
      <c r="K1048">
        <v>1606.72</v>
      </c>
      <c r="L1048">
        <v>508.78</v>
      </c>
      <c r="M1048">
        <v>508.78</v>
      </c>
      <c r="N1048">
        <v>0</v>
      </c>
    </row>
    <row r="1049" spans="1:14" ht="12.75" x14ac:dyDescent="0.2">
      <c r="A1049">
        <v>6952</v>
      </c>
      <c r="B1049" s="342">
        <v>9017</v>
      </c>
      <c r="C1049" t="s">
        <v>697</v>
      </c>
      <c r="D1049">
        <v>0</v>
      </c>
      <c r="E1049">
        <v>1000000</v>
      </c>
      <c r="F1049">
        <v>0</v>
      </c>
      <c r="G1049">
        <v>0</v>
      </c>
      <c r="H1049">
        <v>0</v>
      </c>
      <c r="I1049">
        <v>0</v>
      </c>
      <c r="J1049">
        <v>0</v>
      </c>
      <c r="K1049">
        <v>2003556.16</v>
      </c>
      <c r="L1049">
        <v>0</v>
      </c>
      <c r="M1049">
        <v>0</v>
      </c>
      <c r="N1049">
        <v>0</v>
      </c>
    </row>
    <row r="1050" spans="1:14" ht="12.75" x14ac:dyDescent="0.2">
      <c r="A1050">
        <v>6952</v>
      </c>
      <c r="B1050" s="342">
        <v>9018</v>
      </c>
      <c r="C1050" t="s">
        <v>700</v>
      </c>
      <c r="D1050">
        <v>0</v>
      </c>
      <c r="E1050">
        <v>551881.82999999996</v>
      </c>
      <c r="F1050">
        <v>0</v>
      </c>
      <c r="G1050">
        <v>540252.12</v>
      </c>
      <c r="H1050">
        <v>540252.12</v>
      </c>
      <c r="I1050">
        <v>0</v>
      </c>
      <c r="J1050">
        <v>0</v>
      </c>
      <c r="K1050">
        <v>11629.71</v>
      </c>
      <c r="L1050">
        <v>6890.77</v>
      </c>
      <c r="M1050">
        <v>6890.77</v>
      </c>
      <c r="N1050">
        <v>0</v>
      </c>
    </row>
    <row r="1051" spans="1:14" ht="12.75" x14ac:dyDescent="0.2">
      <c r="A1051">
        <v>6952</v>
      </c>
      <c r="B1051" s="342">
        <v>9019</v>
      </c>
      <c r="C1051" t="s">
        <v>691</v>
      </c>
      <c r="D1051">
        <v>0</v>
      </c>
      <c r="E1051">
        <v>0</v>
      </c>
      <c r="F1051">
        <v>0</v>
      </c>
      <c r="G1051">
        <v>425082.82</v>
      </c>
      <c r="H1051">
        <v>425082.82</v>
      </c>
      <c r="I1051">
        <v>0</v>
      </c>
      <c r="J1051">
        <v>0</v>
      </c>
      <c r="K1051">
        <v>502357.17</v>
      </c>
      <c r="L1051">
        <v>4121.8</v>
      </c>
      <c r="M1051">
        <v>4121.8</v>
      </c>
      <c r="N1051">
        <v>0</v>
      </c>
    </row>
    <row r="1052" spans="1:14" ht="12.75" x14ac:dyDescent="0.2">
      <c r="A1052">
        <v>6952</v>
      </c>
      <c r="B1052" s="342">
        <v>9020</v>
      </c>
      <c r="C1052" t="s">
        <v>702</v>
      </c>
      <c r="D1052">
        <v>0</v>
      </c>
      <c r="E1052">
        <v>1500000</v>
      </c>
      <c r="F1052">
        <v>0</v>
      </c>
      <c r="G1052">
        <v>1177875.54</v>
      </c>
      <c r="H1052">
        <v>1177875.54</v>
      </c>
      <c r="I1052">
        <v>0</v>
      </c>
      <c r="J1052">
        <v>0</v>
      </c>
      <c r="K1052">
        <v>1500000</v>
      </c>
      <c r="L1052">
        <v>7203.11</v>
      </c>
      <c r="M1052">
        <v>7203.11</v>
      </c>
      <c r="N1052">
        <v>0</v>
      </c>
    </row>
    <row r="1053" spans="1:14" ht="12.75" x14ac:dyDescent="0.2">
      <c r="A1053">
        <v>6952</v>
      </c>
      <c r="B1053" s="342">
        <v>9021</v>
      </c>
      <c r="C1053" t="s">
        <v>52</v>
      </c>
      <c r="D1053">
        <v>0</v>
      </c>
      <c r="E1053">
        <v>0</v>
      </c>
      <c r="F1053">
        <v>0</v>
      </c>
      <c r="G1053">
        <v>0</v>
      </c>
      <c r="H1053">
        <v>0</v>
      </c>
      <c r="I1053">
        <v>0</v>
      </c>
      <c r="J1053">
        <v>0</v>
      </c>
      <c r="K1053">
        <v>0</v>
      </c>
      <c r="L1053">
        <v>0</v>
      </c>
      <c r="M1053">
        <v>0</v>
      </c>
      <c r="N1053">
        <v>0</v>
      </c>
    </row>
    <row r="1054" spans="1:14" ht="12.75" x14ac:dyDescent="0.2">
      <c r="A1054">
        <v>6952</v>
      </c>
      <c r="B1054" s="342">
        <v>9022</v>
      </c>
      <c r="C1054" t="s">
        <v>511</v>
      </c>
      <c r="D1054">
        <v>0</v>
      </c>
      <c r="E1054">
        <v>0</v>
      </c>
      <c r="F1054">
        <v>0</v>
      </c>
      <c r="G1054">
        <v>519990.86</v>
      </c>
      <c r="H1054">
        <v>519990.86</v>
      </c>
      <c r="I1054">
        <v>0</v>
      </c>
      <c r="J1054">
        <v>0</v>
      </c>
      <c r="K1054">
        <v>9847.08</v>
      </c>
      <c r="L1054">
        <v>8241.8799999999992</v>
      </c>
      <c r="M1054">
        <v>8241.8799999999992</v>
      </c>
      <c r="N1054">
        <v>0</v>
      </c>
    </row>
    <row r="1055" spans="1:14" ht="12.75" x14ac:dyDescent="0.2">
      <c r="A1055">
        <v>6952</v>
      </c>
      <c r="B1055" s="342">
        <v>9023</v>
      </c>
      <c r="C1055" t="s">
        <v>53</v>
      </c>
      <c r="D1055">
        <v>0</v>
      </c>
      <c r="E1055">
        <v>0</v>
      </c>
      <c r="F1055">
        <v>0</v>
      </c>
      <c r="G1055">
        <v>0</v>
      </c>
      <c r="H1055">
        <v>0</v>
      </c>
      <c r="I1055">
        <v>0</v>
      </c>
      <c r="J1055">
        <v>0</v>
      </c>
      <c r="K1055">
        <v>0</v>
      </c>
      <c r="L1055">
        <v>0</v>
      </c>
      <c r="M1055">
        <v>0</v>
      </c>
      <c r="N1055">
        <v>0</v>
      </c>
    </row>
    <row r="1056" spans="1:14" ht="12.75" x14ac:dyDescent="0.2">
      <c r="A1056">
        <v>6952</v>
      </c>
      <c r="B1056">
        <v>9024</v>
      </c>
      <c r="C1056" t="s">
        <v>510</v>
      </c>
      <c r="D1056">
        <v>0</v>
      </c>
      <c r="E1056">
        <v>0</v>
      </c>
      <c r="F1056">
        <v>0</v>
      </c>
      <c r="G1056">
        <v>0</v>
      </c>
      <c r="H1056">
        <v>0</v>
      </c>
      <c r="I1056">
        <v>0</v>
      </c>
      <c r="J1056">
        <v>0</v>
      </c>
      <c r="K1056">
        <v>0</v>
      </c>
      <c r="L1056">
        <v>0</v>
      </c>
      <c r="M1056">
        <v>0</v>
      </c>
      <c r="N1056">
        <v>0</v>
      </c>
    </row>
    <row r="1057" spans="1:14" ht="12.75" x14ac:dyDescent="0.2">
      <c r="A1057">
        <v>6952</v>
      </c>
      <c r="B1057" s="342">
        <v>9025</v>
      </c>
      <c r="C1057" t="s">
        <v>509</v>
      </c>
      <c r="D1057">
        <v>0</v>
      </c>
      <c r="E1057">
        <v>0</v>
      </c>
      <c r="F1057">
        <v>0</v>
      </c>
      <c r="G1057">
        <v>0</v>
      </c>
      <c r="H1057">
        <v>0</v>
      </c>
      <c r="I1057">
        <v>0</v>
      </c>
      <c r="J1057">
        <v>0</v>
      </c>
      <c r="K1057">
        <v>0</v>
      </c>
      <c r="L1057">
        <v>0</v>
      </c>
      <c r="M1057">
        <v>0</v>
      </c>
      <c r="N1057">
        <v>0</v>
      </c>
    </row>
    <row r="1058" spans="1:14" ht="12.75" x14ac:dyDescent="0.2">
      <c r="A1058">
        <v>6952</v>
      </c>
      <c r="B1058" s="342">
        <v>9029</v>
      </c>
      <c r="C1058" t="s">
        <v>512</v>
      </c>
      <c r="D1058">
        <v>-8820.89</v>
      </c>
      <c r="E1058">
        <v>1810.79</v>
      </c>
      <c r="F1058">
        <v>1000</v>
      </c>
      <c r="G1058">
        <v>8250.98</v>
      </c>
      <c r="H1058">
        <v>8250.98</v>
      </c>
      <c r="I1058">
        <v>1000</v>
      </c>
      <c r="J1058">
        <v>-8820.89</v>
      </c>
      <c r="K1058">
        <v>9700.59</v>
      </c>
      <c r="L1058">
        <v>7684.42</v>
      </c>
      <c r="M1058">
        <v>7684.42</v>
      </c>
      <c r="N1058">
        <v>0</v>
      </c>
    </row>
    <row r="1059" spans="1:14" ht="12.75" x14ac:dyDescent="0.2">
      <c r="A1059">
        <v>6952</v>
      </c>
      <c r="B1059" s="342">
        <v>9030</v>
      </c>
      <c r="C1059" t="s">
        <v>513</v>
      </c>
      <c r="D1059">
        <v>107996.96</v>
      </c>
      <c r="E1059">
        <v>184419.76</v>
      </c>
      <c r="F1059">
        <v>155747</v>
      </c>
      <c r="G1059">
        <v>174292.42</v>
      </c>
      <c r="H1059">
        <v>174292.42</v>
      </c>
      <c r="I1059">
        <v>155747</v>
      </c>
      <c r="J1059">
        <v>107996.96</v>
      </c>
      <c r="K1059">
        <v>838566.75</v>
      </c>
      <c r="L1059">
        <v>825545.75</v>
      </c>
      <c r="M1059">
        <v>825545.75</v>
      </c>
      <c r="N1059">
        <v>0</v>
      </c>
    </row>
    <row r="1060" spans="1:14" ht="12.75" x14ac:dyDescent="0.2">
      <c r="A1060">
        <v>6952</v>
      </c>
      <c r="B1060" s="342">
        <v>9035</v>
      </c>
      <c r="C1060" t="s">
        <v>514</v>
      </c>
      <c r="D1060">
        <v>0</v>
      </c>
      <c r="E1060">
        <v>0</v>
      </c>
      <c r="F1060">
        <v>0</v>
      </c>
      <c r="G1060">
        <v>0</v>
      </c>
      <c r="H1060">
        <v>0</v>
      </c>
      <c r="I1060">
        <v>0</v>
      </c>
      <c r="J1060">
        <v>0</v>
      </c>
      <c r="K1060">
        <v>1279958.57</v>
      </c>
      <c r="L1060">
        <v>1214779.1599999999</v>
      </c>
      <c r="M1060">
        <v>1214779.1599999999</v>
      </c>
      <c r="N1060">
        <v>0</v>
      </c>
    </row>
    <row r="1061" spans="1:14" ht="12.75" x14ac:dyDescent="0.2">
      <c r="A1061">
        <v>6952</v>
      </c>
      <c r="B1061" s="342">
        <v>9040</v>
      </c>
      <c r="C1061" t="s">
        <v>515</v>
      </c>
      <c r="D1061">
        <v>-7368.7</v>
      </c>
      <c r="E1061">
        <v>-24278.75</v>
      </c>
      <c r="F1061">
        <v>0</v>
      </c>
      <c r="G1061">
        <v>-18543.11</v>
      </c>
      <c r="H1061">
        <v>-18543.11</v>
      </c>
      <c r="I1061">
        <v>0</v>
      </c>
      <c r="J1061">
        <v>-7368.7</v>
      </c>
      <c r="K1061">
        <v>1699808.35</v>
      </c>
      <c r="L1061">
        <v>1555557.3</v>
      </c>
      <c r="M1061">
        <v>1555557.3</v>
      </c>
      <c r="N1061">
        <v>0</v>
      </c>
    </row>
    <row r="1062" spans="1:14" ht="12.75" x14ac:dyDescent="0.2">
      <c r="A1062">
        <v>6952</v>
      </c>
      <c r="B1062">
        <v>9111</v>
      </c>
      <c r="C1062" t="s">
        <v>1490</v>
      </c>
      <c r="D1062">
        <v>0</v>
      </c>
      <c r="E1062">
        <v>0</v>
      </c>
      <c r="F1062">
        <v>0</v>
      </c>
      <c r="G1062">
        <v>0</v>
      </c>
      <c r="H1062">
        <v>0</v>
      </c>
      <c r="I1062">
        <v>0</v>
      </c>
      <c r="J1062">
        <v>0</v>
      </c>
      <c r="K1062">
        <v>0</v>
      </c>
      <c r="L1062">
        <v>0</v>
      </c>
      <c r="M1062">
        <v>0</v>
      </c>
      <c r="N1062">
        <v>0</v>
      </c>
    </row>
    <row r="1063" spans="1:14" ht="12.75" x14ac:dyDescent="0.2">
      <c r="A1063">
        <v>6952</v>
      </c>
      <c r="B1063" s="342">
        <v>9112</v>
      </c>
      <c r="C1063" t="s">
        <v>136</v>
      </c>
      <c r="D1063">
        <v>273538.25</v>
      </c>
      <c r="E1063">
        <v>273538.25</v>
      </c>
      <c r="F1063">
        <v>87660</v>
      </c>
      <c r="G1063">
        <v>87660.2</v>
      </c>
      <c r="H1063">
        <v>87660.2</v>
      </c>
      <c r="I1063">
        <v>87660</v>
      </c>
      <c r="J1063">
        <v>273538.25</v>
      </c>
      <c r="K1063">
        <v>185878.05</v>
      </c>
      <c r="L1063">
        <v>85757.88</v>
      </c>
      <c r="M1063">
        <v>85757.88</v>
      </c>
      <c r="N1063">
        <v>0</v>
      </c>
    </row>
    <row r="1064" spans="1:14" ht="12.75" x14ac:dyDescent="0.2">
      <c r="A1064">
        <v>6952</v>
      </c>
      <c r="B1064" s="342">
        <v>9113</v>
      </c>
      <c r="C1064" t="s">
        <v>1687</v>
      </c>
      <c r="D1064">
        <v>-1000.27</v>
      </c>
      <c r="E1064">
        <v>4267.88</v>
      </c>
      <c r="F1064">
        <v>0</v>
      </c>
      <c r="G1064">
        <v>5394.61</v>
      </c>
      <c r="H1064">
        <v>5394.61</v>
      </c>
      <c r="I1064">
        <v>0</v>
      </c>
      <c r="J1064">
        <v>-1000.27</v>
      </c>
      <c r="K1064">
        <v>19982.45</v>
      </c>
      <c r="L1064">
        <v>18538.990000000002</v>
      </c>
      <c r="M1064">
        <v>18538.990000000002</v>
      </c>
      <c r="N1064">
        <v>0</v>
      </c>
    </row>
    <row r="1065" spans="1:14" ht="12.75" x14ac:dyDescent="0.2">
      <c r="A1065">
        <v>6952</v>
      </c>
      <c r="B1065" s="342">
        <v>9114</v>
      </c>
      <c r="C1065" t="s">
        <v>964</v>
      </c>
      <c r="D1065">
        <v>-3025.92</v>
      </c>
      <c r="E1065">
        <v>342.02</v>
      </c>
      <c r="F1065">
        <v>0</v>
      </c>
      <c r="G1065">
        <v>26036.42</v>
      </c>
      <c r="H1065">
        <v>26036.42</v>
      </c>
      <c r="I1065">
        <v>0</v>
      </c>
      <c r="J1065">
        <v>-3025.92</v>
      </c>
      <c r="K1065">
        <v>15248.62</v>
      </c>
      <c r="L1065">
        <v>41879.040000000001</v>
      </c>
      <c r="M1065">
        <v>41879.040000000001</v>
      </c>
      <c r="N1065">
        <v>0</v>
      </c>
    </row>
    <row r="1066" spans="1:14" ht="12.75" x14ac:dyDescent="0.2">
      <c r="A1066">
        <v>6952</v>
      </c>
      <c r="B1066" s="342">
        <v>9115</v>
      </c>
      <c r="C1066" t="s">
        <v>645</v>
      </c>
      <c r="D1066">
        <v>182725.79</v>
      </c>
      <c r="E1066">
        <v>182725.79</v>
      </c>
      <c r="F1066">
        <v>150007</v>
      </c>
      <c r="G1066">
        <v>118575.57</v>
      </c>
      <c r="H1066">
        <v>118575.57</v>
      </c>
      <c r="I1066">
        <v>150007</v>
      </c>
      <c r="J1066">
        <v>182725.79</v>
      </c>
      <c r="K1066">
        <v>184432.19</v>
      </c>
      <c r="L1066">
        <v>119371.83</v>
      </c>
      <c r="M1066">
        <v>119371.83</v>
      </c>
      <c r="N1066">
        <v>0</v>
      </c>
    </row>
    <row r="1067" spans="1:14" ht="12.75" x14ac:dyDescent="0.2">
      <c r="A1067">
        <v>6952</v>
      </c>
      <c r="B1067" s="342" t="s">
        <v>516</v>
      </c>
      <c r="C1067" t="s">
        <v>517</v>
      </c>
      <c r="D1067">
        <v>1204657</v>
      </c>
      <c r="E1067">
        <v>1204657</v>
      </c>
      <c r="F1067">
        <v>1080846</v>
      </c>
      <c r="G1067">
        <v>1080846</v>
      </c>
      <c r="H1067">
        <v>1080846</v>
      </c>
      <c r="I1067">
        <v>1080846</v>
      </c>
      <c r="J1067">
        <v>1204657</v>
      </c>
      <c r="K1067">
        <v>1204657</v>
      </c>
      <c r="L1067">
        <v>1080846</v>
      </c>
      <c r="M1067">
        <v>1080846</v>
      </c>
      <c r="N1067">
        <v>0</v>
      </c>
    </row>
    <row r="1068" spans="1:14" ht="12.75" x14ac:dyDescent="0.2">
      <c r="A1068">
        <v>6952</v>
      </c>
      <c r="B1068" s="342">
        <v>9116</v>
      </c>
      <c r="C1068" t="s">
        <v>703</v>
      </c>
      <c r="D1068">
        <v>4703.32</v>
      </c>
      <c r="E1068">
        <v>8203.7999999999993</v>
      </c>
      <c r="F1068">
        <v>5434</v>
      </c>
      <c r="G1068">
        <v>5433.67</v>
      </c>
      <c r="H1068">
        <v>5433.67</v>
      </c>
      <c r="I1068">
        <v>5434</v>
      </c>
      <c r="J1068">
        <v>4703.32</v>
      </c>
      <c r="K1068">
        <v>8090.13</v>
      </c>
      <c r="L1068">
        <v>1075.93</v>
      </c>
      <c r="M1068">
        <v>1075.93</v>
      </c>
      <c r="N1068">
        <v>0</v>
      </c>
    </row>
    <row r="1069" spans="1:14" ht="12.75" x14ac:dyDescent="0.2">
      <c r="A1069">
        <v>6952</v>
      </c>
      <c r="B1069" s="342">
        <v>9117</v>
      </c>
      <c r="C1069" t="s">
        <v>613</v>
      </c>
      <c r="D1069">
        <v>111057.34</v>
      </c>
      <c r="E1069">
        <v>190790.13</v>
      </c>
      <c r="F1069">
        <v>140600</v>
      </c>
      <c r="G1069">
        <v>140600.23000000001</v>
      </c>
      <c r="H1069">
        <v>140600.23000000001</v>
      </c>
      <c r="I1069">
        <v>140600</v>
      </c>
      <c r="J1069">
        <v>111057.34</v>
      </c>
      <c r="K1069">
        <v>190790.13</v>
      </c>
      <c r="L1069">
        <v>140600.23000000001</v>
      </c>
      <c r="M1069">
        <v>140600.23000000001</v>
      </c>
      <c r="N1069">
        <v>0</v>
      </c>
    </row>
    <row r="1070" spans="1:14" ht="12.75" x14ac:dyDescent="0.2">
      <c r="A1070">
        <v>6952</v>
      </c>
      <c r="B1070" s="342">
        <v>9118</v>
      </c>
      <c r="C1070" t="s">
        <v>896</v>
      </c>
      <c r="D1070">
        <v>3482.73</v>
      </c>
      <c r="E1070">
        <v>9972.7199999999993</v>
      </c>
      <c r="F1070">
        <v>0</v>
      </c>
      <c r="G1070">
        <v>11621.93</v>
      </c>
      <c r="H1070">
        <v>11621.93</v>
      </c>
      <c r="I1070">
        <v>0</v>
      </c>
      <c r="J1070">
        <v>3482.73</v>
      </c>
      <c r="K1070">
        <v>4366.99</v>
      </c>
      <c r="L1070">
        <v>4912.3599999999997</v>
      </c>
      <c r="M1070">
        <v>4912.3599999999997</v>
      </c>
      <c r="N1070">
        <v>0</v>
      </c>
    </row>
    <row r="1071" spans="1:14" ht="12.75" x14ac:dyDescent="0.2">
      <c r="A1071">
        <v>6952</v>
      </c>
      <c r="B1071" s="342">
        <v>9120</v>
      </c>
      <c r="C1071" t="s">
        <v>518</v>
      </c>
      <c r="D1071">
        <v>415599</v>
      </c>
      <c r="E1071">
        <v>415599</v>
      </c>
      <c r="F1071">
        <v>488263</v>
      </c>
      <c r="G1071">
        <v>488263</v>
      </c>
      <c r="H1071">
        <v>488263</v>
      </c>
      <c r="I1071">
        <v>488263</v>
      </c>
      <c r="J1071">
        <v>415599</v>
      </c>
      <c r="K1071">
        <v>415599</v>
      </c>
      <c r="L1071">
        <v>488263</v>
      </c>
      <c r="M1071">
        <v>488263</v>
      </c>
      <c r="N1071">
        <v>0</v>
      </c>
    </row>
    <row r="1072" spans="1:14" ht="12.75" x14ac:dyDescent="0.2">
      <c r="A1072">
        <v>6952</v>
      </c>
      <c r="B1072">
        <v>9121</v>
      </c>
      <c r="C1072" t="s">
        <v>519</v>
      </c>
      <c r="D1072">
        <v>0</v>
      </c>
      <c r="E1072">
        <v>0</v>
      </c>
      <c r="F1072">
        <v>0</v>
      </c>
      <c r="G1072">
        <v>0</v>
      </c>
      <c r="H1072">
        <v>0</v>
      </c>
      <c r="I1072">
        <v>0</v>
      </c>
      <c r="J1072">
        <v>0</v>
      </c>
      <c r="K1072">
        <v>0</v>
      </c>
      <c r="L1072">
        <v>0</v>
      </c>
      <c r="M1072">
        <v>0</v>
      </c>
      <c r="N1072">
        <v>0</v>
      </c>
    </row>
    <row r="1073" spans="1:14" ht="12.75" x14ac:dyDescent="0.2">
      <c r="A1073">
        <v>6952</v>
      </c>
      <c r="B1073" s="342">
        <v>9127</v>
      </c>
      <c r="C1073" t="s">
        <v>520</v>
      </c>
      <c r="D1073">
        <v>-37.99</v>
      </c>
      <c r="E1073">
        <v>3556.6</v>
      </c>
      <c r="F1073">
        <v>3595</v>
      </c>
      <c r="G1073">
        <v>3594.59</v>
      </c>
      <c r="H1073">
        <v>3594.59</v>
      </c>
      <c r="I1073">
        <v>3595</v>
      </c>
      <c r="J1073">
        <v>-37.99</v>
      </c>
      <c r="K1073">
        <v>3556.6</v>
      </c>
      <c r="L1073">
        <v>9.52</v>
      </c>
      <c r="M1073">
        <v>9.52</v>
      </c>
      <c r="N1073">
        <v>0</v>
      </c>
    </row>
    <row r="1074" spans="1:14" ht="12.75" x14ac:dyDescent="0.2">
      <c r="A1074">
        <v>6952</v>
      </c>
      <c r="B1074">
        <v>9299</v>
      </c>
      <c r="C1074" t="s">
        <v>1053</v>
      </c>
      <c r="D1074">
        <v>0</v>
      </c>
      <c r="E1074">
        <v>0</v>
      </c>
      <c r="F1074">
        <v>0</v>
      </c>
      <c r="G1074">
        <v>0</v>
      </c>
      <c r="H1074">
        <v>0</v>
      </c>
      <c r="I1074">
        <v>0</v>
      </c>
      <c r="J1074">
        <v>0</v>
      </c>
      <c r="K1074">
        <v>0</v>
      </c>
      <c r="L1074">
        <v>0</v>
      </c>
      <c r="M1074">
        <v>0</v>
      </c>
      <c r="N1074">
        <v>0</v>
      </c>
    </row>
    <row r="1075" spans="1:14" ht="12.75" x14ac:dyDescent="0.2">
      <c r="A1075">
        <v>6952</v>
      </c>
      <c r="B1075" s="342">
        <v>9300</v>
      </c>
      <c r="C1075" t="s">
        <v>521</v>
      </c>
      <c r="D1075">
        <v>-139224.37</v>
      </c>
      <c r="E1075">
        <v>-154574.32999999999</v>
      </c>
      <c r="F1075">
        <v>0</v>
      </c>
      <c r="G1075">
        <v>-53449.15</v>
      </c>
      <c r="H1075">
        <v>-53449.15</v>
      </c>
      <c r="I1075">
        <v>0</v>
      </c>
      <c r="J1075">
        <v>-139224.37</v>
      </c>
      <c r="K1075">
        <v>4031337.95</v>
      </c>
      <c r="L1075">
        <v>3276563.81</v>
      </c>
      <c r="M1075">
        <v>3276563.81</v>
      </c>
      <c r="N1075">
        <v>0</v>
      </c>
    </row>
    <row r="1076" spans="1:14" ht="12.75" x14ac:dyDescent="0.2">
      <c r="A1076">
        <v>6952</v>
      </c>
      <c r="B1076" s="342">
        <v>9316</v>
      </c>
      <c r="C1076" t="s">
        <v>1688</v>
      </c>
      <c r="D1076">
        <v>-302421.64</v>
      </c>
      <c r="E1076">
        <v>-302421.64</v>
      </c>
      <c r="F1076">
        <v>0</v>
      </c>
      <c r="G1076">
        <v>0</v>
      </c>
      <c r="H1076">
        <v>0</v>
      </c>
      <c r="I1076">
        <v>0</v>
      </c>
      <c r="J1076">
        <v>-302421.64</v>
      </c>
      <c r="K1076">
        <v>0</v>
      </c>
      <c r="L1076">
        <v>0</v>
      </c>
      <c r="M1076">
        <v>0</v>
      </c>
      <c r="N1076">
        <v>0</v>
      </c>
    </row>
    <row r="1077" spans="1:14" ht="12.75" x14ac:dyDescent="0.2">
      <c r="A1077">
        <v>6952</v>
      </c>
      <c r="B1077">
        <v>9317</v>
      </c>
      <c r="C1077" t="s">
        <v>1218</v>
      </c>
      <c r="D1077">
        <v>0</v>
      </c>
      <c r="E1077">
        <v>0</v>
      </c>
      <c r="F1077">
        <v>0</v>
      </c>
      <c r="G1077">
        <v>0</v>
      </c>
      <c r="H1077">
        <v>0</v>
      </c>
      <c r="I1077">
        <v>0</v>
      </c>
      <c r="J1077">
        <v>0</v>
      </c>
      <c r="K1077">
        <v>0</v>
      </c>
      <c r="L1077">
        <v>0</v>
      </c>
      <c r="M1077">
        <v>0</v>
      </c>
      <c r="N1077">
        <v>0</v>
      </c>
    </row>
    <row r="1078" spans="1:14" ht="12.75" x14ac:dyDescent="0.2">
      <c r="A1078">
        <v>6952</v>
      </c>
      <c r="B1078" s="342">
        <v>9318</v>
      </c>
      <c r="C1078" t="s">
        <v>704</v>
      </c>
      <c r="D1078">
        <v>2746.15</v>
      </c>
      <c r="E1078">
        <v>-133650</v>
      </c>
      <c r="F1078">
        <v>-136396</v>
      </c>
      <c r="G1078">
        <v>-136396.15</v>
      </c>
      <c r="H1078">
        <v>-136396.15</v>
      </c>
      <c r="I1078">
        <v>-136396</v>
      </c>
      <c r="J1078">
        <v>2746.15</v>
      </c>
      <c r="K1078">
        <v>2746.15</v>
      </c>
      <c r="L1078">
        <v>11904.61</v>
      </c>
      <c r="M1078">
        <v>11904.61</v>
      </c>
      <c r="N1078">
        <v>0</v>
      </c>
    </row>
    <row r="1079" spans="1:14" ht="12.75" x14ac:dyDescent="0.2">
      <c r="A1079">
        <v>6952</v>
      </c>
      <c r="B1079" s="342">
        <v>9319</v>
      </c>
      <c r="C1079" t="s">
        <v>522</v>
      </c>
      <c r="D1079">
        <v>-993.88</v>
      </c>
      <c r="E1079">
        <v>-7927</v>
      </c>
      <c r="F1079">
        <v>-8580</v>
      </c>
      <c r="G1079">
        <v>-8580</v>
      </c>
      <c r="H1079">
        <v>-8580</v>
      </c>
      <c r="I1079">
        <v>-8580</v>
      </c>
      <c r="J1079">
        <v>-993.88</v>
      </c>
      <c r="K1079">
        <v>12580.04</v>
      </c>
      <c r="L1079">
        <v>11743</v>
      </c>
      <c r="M1079">
        <v>11743</v>
      </c>
      <c r="N1079">
        <v>0</v>
      </c>
    </row>
    <row r="1080" spans="1:14" ht="12.75" x14ac:dyDescent="0.2">
      <c r="A1080">
        <v>6952</v>
      </c>
      <c r="B1080" s="342">
        <v>9320</v>
      </c>
      <c r="C1080" t="s">
        <v>646</v>
      </c>
      <c r="D1080">
        <v>-135250.23999999999</v>
      </c>
      <c r="E1080">
        <v>-135250.23999999999</v>
      </c>
      <c r="F1080">
        <v>-195872</v>
      </c>
      <c r="G1080">
        <v>-142421.84</v>
      </c>
      <c r="H1080">
        <v>-142421.84</v>
      </c>
      <c r="I1080">
        <v>-195872</v>
      </c>
      <c r="J1080">
        <v>-135250.23999999999</v>
      </c>
      <c r="K1080">
        <v>142421.84</v>
      </c>
      <c r="L1080">
        <v>70311.45</v>
      </c>
      <c r="M1080">
        <v>70311.45</v>
      </c>
      <c r="N1080">
        <v>0</v>
      </c>
    </row>
    <row r="1081" spans="1:14" ht="12.75" x14ac:dyDescent="0.2">
      <c r="A1081">
        <v>6952</v>
      </c>
      <c r="B1081" s="342" t="s">
        <v>523</v>
      </c>
      <c r="C1081" t="s">
        <v>517</v>
      </c>
      <c r="D1081">
        <v>-1204657</v>
      </c>
      <c r="E1081">
        <v>-1204657</v>
      </c>
      <c r="F1081">
        <v>-1080846</v>
      </c>
      <c r="G1081">
        <v>-1080846</v>
      </c>
      <c r="H1081">
        <v>-1080846</v>
      </c>
      <c r="I1081">
        <v>-1080846</v>
      </c>
      <c r="J1081">
        <v>-1204657</v>
      </c>
      <c r="K1081">
        <v>1080846</v>
      </c>
      <c r="L1081">
        <v>1041272</v>
      </c>
      <c r="M1081">
        <v>1041272</v>
      </c>
      <c r="N1081">
        <v>0</v>
      </c>
    </row>
    <row r="1082" spans="1:14" ht="12.75" x14ac:dyDescent="0.2">
      <c r="A1082">
        <v>6952</v>
      </c>
      <c r="B1082" s="342">
        <v>9322</v>
      </c>
      <c r="C1082" t="s">
        <v>1025</v>
      </c>
      <c r="D1082">
        <v>0</v>
      </c>
      <c r="E1082">
        <v>-8595.91</v>
      </c>
      <c r="F1082">
        <v>0</v>
      </c>
      <c r="G1082">
        <v>-8595.91</v>
      </c>
      <c r="H1082">
        <v>-8595.91</v>
      </c>
      <c r="I1082">
        <v>0</v>
      </c>
      <c r="J1082">
        <v>0</v>
      </c>
      <c r="K1082">
        <v>0</v>
      </c>
      <c r="L1082">
        <v>353.86</v>
      </c>
      <c r="M1082">
        <v>353.86</v>
      </c>
      <c r="N1082">
        <v>0</v>
      </c>
    </row>
    <row r="1083" spans="1:14" ht="12.75" x14ac:dyDescent="0.2">
      <c r="A1083">
        <v>6952</v>
      </c>
      <c r="B1083" s="342">
        <v>9328</v>
      </c>
      <c r="C1083" t="s">
        <v>1689</v>
      </c>
      <c r="D1083">
        <v>0</v>
      </c>
      <c r="E1083">
        <v>-52868.98</v>
      </c>
      <c r="F1083">
        <v>0</v>
      </c>
      <c r="G1083">
        <v>0</v>
      </c>
      <c r="H1083">
        <v>0</v>
      </c>
      <c r="I1083">
        <v>0</v>
      </c>
      <c r="J1083">
        <v>0</v>
      </c>
      <c r="K1083">
        <v>0</v>
      </c>
      <c r="L1083">
        <v>0</v>
      </c>
      <c r="M1083">
        <v>0</v>
      </c>
      <c r="N1083">
        <v>0</v>
      </c>
    </row>
    <row r="1084" spans="1:14" ht="12.75" x14ac:dyDescent="0.2">
      <c r="A1084">
        <v>6952</v>
      </c>
      <c r="B1084" s="342">
        <v>9329</v>
      </c>
      <c r="C1084" t="s">
        <v>524</v>
      </c>
      <c r="D1084">
        <v>324</v>
      </c>
      <c r="E1084">
        <v>-94308</v>
      </c>
      <c r="F1084">
        <v>-38001</v>
      </c>
      <c r="G1084">
        <v>-94632</v>
      </c>
      <c r="H1084">
        <v>-94632</v>
      </c>
      <c r="I1084">
        <v>-38001</v>
      </c>
      <c r="J1084">
        <v>324</v>
      </c>
      <c r="K1084">
        <v>81500</v>
      </c>
      <c r="L1084">
        <v>139150</v>
      </c>
      <c r="M1084">
        <v>139150</v>
      </c>
      <c r="N1084">
        <v>0</v>
      </c>
    </row>
    <row r="1085" spans="1:14" ht="12.75" x14ac:dyDescent="0.2">
      <c r="A1085">
        <v>6952</v>
      </c>
      <c r="B1085" s="342">
        <v>9331</v>
      </c>
      <c r="C1085" t="s">
        <v>897</v>
      </c>
      <c r="D1085">
        <v>0</v>
      </c>
      <c r="E1085">
        <v>0</v>
      </c>
      <c r="F1085">
        <v>0</v>
      </c>
      <c r="G1085">
        <v>0</v>
      </c>
      <c r="H1085">
        <v>0</v>
      </c>
      <c r="I1085">
        <v>0</v>
      </c>
      <c r="J1085">
        <v>0</v>
      </c>
      <c r="K1085">
        <v>0</v>
      </c>
      <c r="L1085">
        <v>0</v>
      </c>
      <c r="M1085">
        <v>0</v>
      </c>
      <c r="N1085">
        <v>0</v>
      </c>
    </row>
    <row r="1086" spans="1:14" ht="12.75" x14ac:dyDescent="0.2">
      <c r="A1086">
        <v>6952</v>
      </c>
      <c r="B1086" s="342">
        <v>9332</v>
      </c>
      <c r="C1086" t="s">
        <v>898</v>
      </c>
      <c r="D1086">
        <v>0</v>
      </c>
      <c r="E1086">
        <v>0</v>
      </c>
      <c r="F1086">
        <v>0</v>
      </c>
      <c r="G1086">
        <v>0</v>
      </c>
      <c r="H1086">
        <v>0</v>
      </c>
      <c r="I1086">
        <v>0</v>
      </c>
      <c r="J1086">
        <v>0</v>
      </c>
      <c r="K1086">
        <v>0</v>
      </c>
      <c r="L1086">
        <v>0</v>
      </c>
      <c r="M1086">
        <v>0</v>
      </c>
      <c r="N1086">
        <v>0</v>
      </c>
    </row>
    <row r="1087" spans="1:14" ht="12.75" x14ac:dyDescent="0.2">
      <c r="A1087">
        <v>6952</v>
      </c>
      <c r="B1087" s="342">
        <v>9333</v>
      </c>
      <c r="C1087" t="s">
        <v>1446</v>
      </c>
      <c r="D1087">
        <v>0</v>
      </c>
      <c r="E1087">
        <v>-19042.32</v>
      </c>
      <c r="F1087">
        <v>0</v>
      </c>
      <c r="G1087">
        <v>-19042.32</v>
      </c>
      <c r="H1087">
        <v>-19042.32</v>
      </c>
      <c r="I1087">
        <v>0</v>
      </c>
      <c r="J1087">
        <v>0</v>
      </c>
      <c r="K1087">
        <v>0</v>
      </c>
      <c r="L1087">
        <v>0</v>
      </c>
      <c r="M1087">
        <v>0</v>
      </c>
      <c r="N1087">
        <v>0</v>
      </c>
    </row>
    <row r="1088" spans="1:14" ht="12.75" x14ac:dyDescent="0.2">
      <c r="A1088">
        <v>6952</v>
      </c>
      <c r="B1088" s="342">
        <v>9345</v>
      </c>
      <c r="C1088" t="s">
        <v>899</v>
      </c>
      <c r="D1088">
        <v>2567.0300000000002</v>
      </c>
      <c r="E1088">
        <v>-68300.740000000005</v>
      </c>
      <c r="F1088">
        <v>-77572</v>
      </c>
      <c r="G1088">
        <v>-70151.77</v>
      </c>
      <c r="H1088">
        <v>-70151.77</v>
      </c>
      <c r="I1088">
        <v>-77572</v>
      </c>
      <c r="J1088">
        <v>2567.0300000000002</v>
      </c>
      <c r="K1088">
        <v>28716.51</v>
      </c>
      <c r="L1088">
        <v>23209.119999999999</v>
      </c>
      <c r="M1088">
        <v>23209.119999999999</v>
      </c>
      <c r="N1088">
        <v>0</v>
      </c>
    </row>
    <row r="1089" spans="1:14" ht="12.75" x14ac:dyDescent="0.2">
      <c r="A1089">
        <v>6952</v>
      </c>
      <c r="B1089">
        <v>9350</v>
      </c>
      <c r="C1089" t="s">
        <v>525</v>
      </c>
      <c r="D1089">
        <v>0</v>
      </c>
      <c r="E1089">
        <v>0</v>
      </c>
      <c r="F1089">
        <v>0</v>
      </c>
      <c r="G1089">
        <v>0</v>
      </c>
      <c r="H1089">
        <v>0</v>
      </c>
      <c r="I1089">
        <v>0</v>
      </c>
      <c r="J1089">
        <v>0</v>
      </c>
      <c r="K1089">
        <v>0</v>
      </c>
      <c r="L1089">
        <v>0</v>
      </c>
      <c r="M1089">
        <v>0</v>
      </c>
      <c r="N1089">
        <v>0</v>
      </c>
    </row>
    <row r="1090" spans="1:14" ht="12.75" x14ac:dyDescent="0.2">
      <c r="A1090">
        <v>6952</v>
      </c>
      <c r="B1090" s="342">
        <v>9370</v>
      </c>
      <c r="C1090" t="s">
        <v>526</v>
      </c>
      <c r="D1090">
        <v>0</v>
      </c>
      <c r="E1090">
        <v>9063699.1699999999</v>
      </c>
      <c r="F1090">
        <v>9009288</v>
      </c>
      <c r="G1090">
        <v>7740253.0499999998</v>
      </c>
      <c r="H1090">
        <v>7740253.0499999998</v>
      </c>
      <c r="I1090">
        <v>9009288</v>
      </c>
      <c r="J1090">
        <v>0</v>
      </c>
      <c r="K1090">
        <v>0</v>
      </c>
      <c r="L1090">
        <v>0</v>
      </c>
      <c r="M1090">
        <v>0</v>
      </c>
      <c r="N1090">
        <v>0</v>
      </c>
    </row>
    <row r="1091" spans="1:14" ht="12.75" x14ac:dyDescent="0.2">
      <c r="A1091">
        <v>6952</v>
      </c>
      <c r="B1091" s="342">
        <v>9388</v>
      </c>
      <c r="C1091" t="s">
        <v>900</v>
      </c>
      <c r="D1091">
        <v>-4773.1499999999996</v>
      </c>
      <c r="E1091">
        <v>5418.66</v>
      </c>
      <c r="F1091">
        <v>0</v>
      </c>
      <c r="G1091">
        <v>8512.7900000000009</v>
      </c>
      <c r="H1091">
        <v>8512.7900000000009</v>
      </c>
      <c r="I1091">
        <v>0</v>
      </c>
      <c r="J1091">
        <v>-4773.1499999999996</v>
      </c>
      <c r="K1091">
        <v>5743.77</v>
      </c>
      <c r="L1091">
        <v>6221.95</v>
      </c>
      <c r="M1091">
        <v>6221.95</v>
      </c>
      <c r="N1091">
        <v>0</v>
      </c>
    </row>
    <row r="1092" spans="1:14" ht="12.75" x14ac:dyDescent="0.2">
      <c r="A1092">
        <v>6952</v>
      </c>
      <c r="B1092">
        <v>9391</v>
      </c>
      <c r="C1092" t="s">
        <v>1220</v>
      </c>
      <c r="D1092">
        <v>0</v>
      </c>
      <c r="E1092">
        <v>0</v>
      </c>
      <c r="F1092">
        <v>0</v>
      </c>
      <c r="G1092">
        <v>0</v>
      </c>
      <c r="H1092">
        <v>0</v>
      </c>
      <c r="I1092">
        <v>0</v>
      </c>
      <c r="J1092">
        <v>0</v>
      </c>
      <c r="K1092">
        <v>0</v>
      </c>
      <c r="L1092">
        <v>0</v>
      </c>
      <c r="M1092">
        <v>0</v>
      </c>
      <c r="N1092">
        <v>0</v>
      </c>
    </row>
    <row r="1093" spans="1:14" ht="12.75" x14ac:dyDescent="0.2">
      <c r="A1093">
        <v>6952</v>
      </c>
      <c r="B1093">
        <v>9400</v>
      </c>
      <c r="C1093" t="s">
        <v>527</v>
      </c>
      <c r="D1093">
        <v>0</v>
      </c>
      <c r="E1093">
        <v>0</v>
      </c>
      <c r="F1093">
        <v>0</v>
      </c>
      <c r="G1093">
        <v>0</v>
      </c>
      <c r="H1093">
        <v>0</v>
      </c>
      <c r="I1093">
        <v>0</v>
      </c>
      <c r="J1093">
        <v>0</v>
      </c>
      <c r="K1093">
        <v>0</v>
      </c>
      <c r="L1093">
        <v>0</v>
      </c>
      <c r="M1093">
        <v>0</v>
      </c>
      <c r="N1093">
        <v>0</v>
      </c>
    </row>
    <row r="1094" spans="1:14" ht="12.75" x14ac:dyDescent="0.2">
      <c r="A1094">
        <v>6952</v>
      </c>
      <c r="B1094" s="342">
        <v>9429</v>
      </c>
      <c r="C1094" t="s">
        <v>524</v>
      </c>
      <c r="D1094">
        <v>5248.52</v>
      </c>
      <c r="E1094">
        <v>-43556</v>
      </c>
      <c r="F1094">
        <v>0</v>
      </c>
      <c r="G1094">
        <v>-22190</v>
      </c>
      <c r="H1094">
        <v>-22190</v>
      </c>
      <c r="I1094">
        <v>0</v>
      </c>
      <c r="J1094">
        <v>5248.52</v>
      </c>
      <c r="K1094">
        <v>0</v>
      </c>
      <c r="L1094">
        <v>0</v>
      </c>
      <c r="M1094">
        <v>0</v>
      </c>
      <c r="N1094">
        <v>0</v>
      </c>
    </row>
    <row r="1095" spans="1:14" ht="12.75" x14ac:dyDescent="0.2">
      <c r="A1095">
        <v>6952</v>
      </c>
      <c r="B1095" s="342">
        <v>9431</v>
      </c>
      <c r="C1095" t="s">
        <v>901</v>
      </c>
      <c r="D1095">
        <v>0</v>
      </c>
      <c r="E1095">
        <v>0</v>
      </c>
      <c r="F1095">
        <v>0</v>
      </c>
      <c r="G1095">
        <v>0</v>
      </c>
      <c r="H1095">
        <v>0</v>
      </c>
      <c r="I1095">
        <v>0</v>
      </c>
      <c r="J1095">
        <v>0</v>
      </c>
      <c r="K1095">
        <v>0</v>
      </c>
      <c r="L1095">
        <v>0</v>
      </c>
      <c r="M1095">
        <v>0</v>
      </c>
      <c r="N1095">
        <v>0</v>
      </c>
    </row>
    <row r="1096" spans="1:14" ht="12.75" x14ac:dyDescent="0.2">
      <c r="A1096">
        <v>6952</v>
      </c>
      <c r="B1096" s="342">
        <v>9432</v>
      </c>
      <c r="C1096" t="s">
        <v>898</v>
      </c>
      <c r="D1096">
        <v>0</v>
      </c>
      <c r="E1096">
        <v>-0.02</v>
      </c>
      <c r="F1096">
        <v>0</v>
      </c>
      <c r="G1096">
        <v>0</v>
      </c>
      <c r="H1096">
        <v>0</v>
      </c>
      <c r="I1096">
        <v>0</v>
      </c>
      <c r="J1096">
        <v>0</v>
      </c>
      <c r="K1096">
        <v>0</v>
      </c>
      <c r="L1096">
        <v>0</v>
      </c>
      <c r="M1096">
        <v>0</v>
      </c>
      <c r="N1096">
        <v>0</v>
      </c>
    </row>
    <row r="1097" spans="1:14" ht="12.75" x14ac:dyDescent="0.2">
      <c r="A1097">
        <v>6952</v>
      </c>
      <c r="B1097" s="342">
        <v>9433</v>
      </c>
      <c r="C1097" t="s">
        <v>1446</v>
      </c>
      <c r="D1097">
        <v>1586.86</v>
      </c>
      <c r="E1097">
        <v>-20629.18</v>
      </c>
      <c r="F1097">
        <v>0</v>
      </c>
      <c r="G1097">
        <v>-39671.5</v>
      </c>
      <c r="H1097">
        <v>-39671.5</v>
      </c>
      <c r="I1097">
        <v>0</v>
      </c>
      <c r="J1097">
        <v>1586.86</v>
      </c>
      <c r="K1097">
        <v>19042.32</v>
      </c>
      <c r="L1097">
        <v>19042.32</v>
      </c>
      <c r="M1097">
        <v>19042.32</v>
      </c>
      <c r="N1097">
        <v>0</v>
      </c>
    </row>
    <row r="1098" spans="1:14" ht="12.75" x14ac:dyDescent="0.2">
      <c r="A1098">
        <v>6952</v>
      </c>
      <c r="B1098" s="342">
        <v>9445</v>
      </c>
      <c r="C1098" t="s">
        <v>1447</v>
      </c>
      <c r="D1098">
        <v>4648.29</v>
      </c>
      <c r="E1098">
        <v>-50498.080000000002</v>
      </c>
      <c r="F1098">
        <v>-85839</v>
      </c>
      <c r="G1098">
        <v>-54680.95</v>
      </c>
      <c r="H1098">
        <v>-54680.95</v>
      </c>
      <c r="I1098">
        <v>-85839</v>
      </c>
      <c r="J1098">
        <v>4648.29</v>
      </c>
      <c r="K1098">
        <v>57913.95</v>
      </c>
      <c r="L1098">
        <v>57904.65</v>
      </c>
      <c r="M1098">
        <v>57904.65</v>
      </c>
      <c r="N1098">
        <v>0</v>
      </c>
    </row>
    <row r="1099" spans="1:14" ht="12.75" x14ac:dyDescent="0.2">
      <c r="A1099">
        <v>6952</v>
      </c>
      <c r="B1099" s="343">
        <v>9500</v>
      </c>
      <c r="C1099" t="s">
        <v>528</v>
      </c>
      <c r="D1099">
        <v>0</v>
      </c>
      <c r="E1099">
        <v>-18136012.829999998</v>
      </c>
      <c r="F1099">
        <v>-17680028</v>
      </c>
      <c r="G1099">
        <v>-16267181.67</v>
      </c>
      <c r="H1099">
        <v>-16267181.67</v>
      </c>
      <c r="I1099">
        <v>-17680028</v>
      </c>
      <c r="J1099">
        <v>0</v>
      </c>
      <c r="K1099">
        <v>0</v>
      </c>
      <c r="L1099">
        <v>0</v>
      </c>
      <c r="M1099">
        <v>0</v>
      </c>
      <c r="N1099">
        <v>0</v>
      </c>
    </row>
    <row r="1100" spans="1:14" ht="12.75" x14ac:dyDescent="0.2">
      <c r="A1100">
        <v>6952</v>
      </c>
      <c r="B1100" s="342">
        <v>9501</v>
      </c>
      <c r="C1100" t="s">
        <v>529</v>
      </c>
      <c r="D1100">
        <v>0</v>
      </c>
      <c r="E1100">
        <v>-112838</v>
      </c>
      <c r="F1100">
        <v>0</v>
      </c>
      <c r="G1100">
        <v>-256350</v>
      </c>
      <c r="H1100">
        <v>-256350</v>
      </c>
      <c r="I1100">
        <v>0</v>
      </c>
      <c r="J1100">
        <v>0</v>
      </c>
      <c r="K1100">
        <v>0</v>
      </c>
      <c r="L1100">
        <v>0</v>
      </c>
      <c r="M1100">
        <v>0</v>
      </c>
      <c r="N1100">
        <v>0</v>
      </c>
    </row>
    <row r="1101" spans="1:14" ht="12.75" x14ac:dyDescent="0.2">
      <c r="A1101">
        <v>6952</v>
      </c>
      <c r="B1101">
        <v>9600</v>
      </c>
      <c r="C1101" t="s">
        <v>530</v>
      </c>
      <c r="D1101">
        <v>0</v>
      </c>
      <c r="E1101">
        <v>0</v>
      </c>
      <c r="F1101">
        <v>0</v>
      </c>
      <c r="G1101">
        <v>0</v>
      </c>
      <c r="H1101">
        <v>0</v>
      </c>
      <c r="I1101">
        <v>0</v>
      </c>
      <c r="J1101">
        <v>0</v>
      </c>
      <c r="K1101">
        <v>0</v>
      </c>
      <c r="L1101">
        <v>0</v>
      </c>
      <c r="M1101">
        <v>0</v>
      </c>
      <c r="N1101">
        <v>0</v>
      </c>
    </row>
    <row r="1102" spans="1:14" ht="12.75" x14ac:dyDescent="0.2">
      <c r="A1102">
        <v>6952</v>
      </c>
      <c r="B1102" s="342">
        <v>9601</v>
      </c>
      <c r="C1102" t="s">
        <v>680</v>
      </c>
      <c r="D1102">
        <v>0</v>
      </c>
      <c r="E1102">
        <v>-96.55</v>
      </c>
      <c r="F1102">
        <v>0</v>
      </c>
      <c r="G1102">
        <v>-96.55</v>
      </c>
      <c r="H1102">
        <v>-96.55</v>
      </c>
      <c r="I1102">
        <v>0</v>
      </c>
      <c r="J1102">
        <v>0</v>
      </c>
      <c r="K1102">
        <v>0</v>
      </c>
      <c r="L1102">
        <v>0</v>
      </c>
      <c r="M1102">
        <v>0</v>
      </c>
      <c r="N1102">
        <v>0</v>
      </c>
    </row>
    <row r="1103" spans="1:14" ht="12.75" x14ac:dyDescent="0.2">
      <c r="A1103">
        <v>6952</v>
      </c>
      <c r="B1103" s="342">
        <v>9602</v>
      </c>
      <c r="C1103" t="s">
        <v>531</v>
      </c>
      <c r="D1103">
        <v>0</v>
      </c>
      <c r="E1103">
        <v>0</v>
      </c>
      <c r="F1103">
        <v>-68497</v>
      </c>
      <c r="G1103">
        <v>0</v>
      </c>
      <c r="H1103">
        <v>0</v>
      </c>
      <c r="I1103">
        <v>-68497</v>
      </c>
      <c r="J1103">
        <v>0</v>
      </c>
      <c r="K1103">
        <v>0</v>
      </c>
      <c r="L1103">
        <v>0</v>
      </c>
      <c r="M1103">
        <v>0</v>
      </c>
      <c r="N1103">
        <v>0</v>
      </c>
    </row>
    <row r="1104" spans="1:14" ht="12.75" x14ac:dyDescent="0.2">
      <c r="A1104">
        <v>6952</v>
      </c>
      <c r="B1104" s="342">
        <v>9603</v>
      </c>
      <c r="C1104" t="s">
        <v>532</v>
      </c>
      <c r="D1104">
        <v>0</v>
      </c>
      <c r="E1104">
        <v>0</v>
      </c>
      <c r="F1104">
        <v>0</v>
      </c>
      <c r="G1104">
        <v>0</v>
      </c>
      <c r="H1104">
        <v>0</v>
      </c>
      <c r="I1104">
        <v>0</v>
      </c>
      <c r="J1104">
        <v>0</v>
      </c>
      <c r="K1104">
        <v>0</v>
      </c>
      <c r="L1104">
        <v>-1302.77</v>
      </c>
      <c r="M1104">
        <v>-1302.77</v>
      </c>
      <c r="N1104">
        <v>0</v>
      </c>
    </row>
    <row r="1105" spans="1:14" ht="12.75" x14ac:dyDescent="0.2">
      <c r="A1105">
        <v>6952</v>
      </c>
      <c r="B1105" s="342">
        <v>9604</v>
      </c>
      <c r="C1105" t="s">
        <v>533</v>
      </c>
      <c r="D1105">
        <v>740557.19</v>
      </c>
      <c r="E1105">
        <v>0</v>
      </c>
      <c r="F1105">
        <v>0</v>
      </c>
      <c r="G1105">
        <v>0</v>
      </c>
      <c r="H1105">
        <v>0</v>
      </c>
      <c r="I1105">
        <v>0</v>
      </c>
      <c r="J1105">
        <v>740557.19</v>
      </c>
      <c r="K1105">
        <v>1330830.0900000001</v>
      </c>
      <c r="L1105">
        <v>2453160.37</v>
      </c>
      <c r="M1105">
        <v>2453160.37</v>
      </c>
      <c r="N1105">
        <v>0</v>
      </c>
    </row>
    <row r="1106" spans="1:14" ht="12.75" x14ac:dyDescent="0.2">
      <c r="A1106">
        <v>6952</v>
      </c>
      <c r="B1106" s="342">
        <v>9605</v>
      </c>
      <c r="C1106" t="s">
        <v>534</v>
      </c>
      <c r="D1106">
        <v>0</v>
      </c>
      <c r="E1106">
        <v>0</v>
      </c>
      <c r="F1106">
        <v>0</v>
      </c>
      <c r="G1106">
        <v>0</v>
      </c>
      <c r="H1106">
        <v>0</v>
      </c>
      <c r="I1106">
        <v>0</v>
      </c>
      <c r="J1106">
        <v>0</v>
      </c>
      <c r="K1106">
        <v>0</v>
      </c>
      <c r="L1106">
        <v>3500</v>
      </c>
      <c r="M1106">
        <v>3500</v>
      </c>
      <c r="N1106">
        <v>0</v>
      </c>
    </row>
    <row r="1107" spans="1:14" ht="12.75" x14ac:dyDescent="0.2">
      <c r="A1107">
        <v>6952</v>
      </c>
      <c r="B1107" s="342">
        <v>9606</v>
      </c>
      <c r="C1107" t="s">
        <v>672</v>
      </c>
      <c r="D1107">
        <v>0</v>
      </c>
      <c r="E1107">
        <v>-76.28</v>
      </c>
      <c r="F1107">
        <v>0</v>
      </c>
      <c r="G1107">
        <v>-76.28</v>
      </c>
      <c r="H1107">
        <v>-76.28</v>
      </c>
      <c r="I1107">
        <v>0</v>
      </c>
      <c r="J1107">
        <v>0</v>
      </c>
      <c r="K1107">
        <v>0</v>
      </c>
      <c r="L1107">
        <v>0</v>
      </c>
      <c r="M1107">
        <v>0</v>
      </c>
      <c r="N1107">
        <v>0</v>
      </c>
    </row>
    <row r="1108" spans="1:14" ht="12.75" x14ac:dyDescent="0.2">
      <c r="A1108">
        <v>6952</v>
      </c>
      <c r="B1108" s="342">
        <v>9607</v>
      </c>
      <c r="C1108" t="s">
        <v>449</v>
      </c>
      <c r="D1108">
        <v>0</v>
      </c>
      <c r="E1108">
        <v>0</v>
      </c>
      <c r="F1108">
        <v>0</v>
      </c>
      <c r="G1108">
        <v>0</v>
      </c>
      <c r="H1108">
        <v>0</v>
      </c>
      <c r="I1108">
        <v>0</v>
      </c>
      <c r="J1108">
        <v>0</v>
      </c>
      <c r="K1108">
        <v>0</v>
      </c>
      <c r="L1108">
        <v>0</v>
      </c>
      <c r="M1108">
        <v>0</v>
      </c>
      <c r="N1108">
        <v>0</v>
      </c>
    </row>
    <row r="1109" spans="1:14" ht="12.75" x14ac:dyDescent="0.2">
      <c r="A1109">
        <v>6952</v>
      </c>
      <c r="B1109" s="342">
        <v>9608</v>
      </c>
      <c r="C1109" t="s">
        <v>535</v>
      </c>
      <c r="D1109">
        <v>0</v>
      </c>
      <c r="E1109">
        <v>0</v>
      </c>
      <c r="F1109">
        <v>0</v>
      </c>
      <c r="G1109">
        <v>0</v>
      </c>
      <c r="H1109">
        <v>0</v>
      </c>
      <c r="I1109">
        <v>0</v>
      </c>
      <c r="J1109">
        <v>0</v>
      </c>
      <c r="K1109">
        <v>0</v>
      </c>
      <c r="L1109">
        <v>0</v>
      </c>
      <c r="M1109">
        <v>0</v>
      </c>
      <c r="N1109">
        <v>0</v>
      </c>
    </row>
    <row r="1110" spans="1:14" ht="12.75" x14ac:dyDescent="0.2">
      <c r="A1110">
        <v>6952</v>
      </c>
      <c r="B1110" s="342">
        <v>9609</v>
      </c>
      <c r="C1110" t="s">
        <v>536</v>
      </c>
      <c r="D1110">
        <v>0</v>
      </c>
      <c r="E1110">
        <v>0</v>
      </c>
      <c r="F1110">
        <v>0</v>
      </c>
      <c r="G1110">
        <v>0</v>
      </c>
      <c r="H1110">
        <v>0</v>
      </c>
      <c r="I1110">
        <v>0</v>
      </c>
      <c r="J1110">
        <v>0</v>
      </c>
      <c r="K1110">
        <v>0</v>
      </c>
      <c r="L1110">
        <v>-556.27</v>
      </c>
      <c r="M1110">
        <v>-556.27</v>
      </c>
      <c r="N1110">
        <v>0</v>
      </c>
    </row>
    <row r="1111" spans="1:14" ht="12.75" x14ac:dyDescent="0.2">
      <c r="A1111">
        <v>6952</v>
      </c>
      <c r="B1111" s="342">
        <v>9610</v>
      </c>
      <c r="C1111" t="s">
        <v>705</v>
      </c>
      <c r="D1111">
        <v>0</v>
      </c>
      <c r="E1111">
        <v>-3259.98</v>
      </c>
      <c r="F1111">
        <v>0</v>
      </c>
      <c r="G1111">
        <v>-3259.98</v>
      </c>
      <c r="H1111">
        <v>-3259.98</v>
      </c>
      <c r="I1111">
        <v>0</v>
      </c>
      <c r="J1111">
        <v>0</v>
      </c>
      <c r="K1111">
        <v>0</v>
      </c>
      <c r="L1111">
        <v>0</v>
      </c>
      <c r="M1111">
        <v>0</v>
      </c>
      <c r="N1111">
        <v>0</v>
      </c>
    </row>
    <row r="1112" spans="1:14" ht="12.75" x14ac:dyDescent="0.2">
      <c r="A1112">
        <v>6952</v>
      </c>
      <c r="B1112" s="342">
        <v>9611</v>
      </c>
      <c r="C1112" t="s">
        <v>706</v>
      </c>
      <c r="D1112">
        <v>0</v>
      </c>
      <c r="E1112">
        <v>-386.35</v>
      </c>
      <c r="F1112">
        <v>0</v>
      </c>
      <c r="G1112">
        <v>-386.35</v>
      </c>
      <c r="H1112">
        <v>-386.35</v>
      </c>
      <c r="I1112">
        <v>0</v>
      </c>
      <c r="J1112">
        <v>0</v>
      </c>
      <c r="K1112">
        <v>0</v>
      </c>
      <c r="L1112">
        <v>0</v>
      </c>
      <c r="M1112">
        <v>0</v>
      </c>
      <c r="N1112">
        <v>0</v>
      </c>
    </row>
    <row r="1113" spans="1:14" ht="12.75" x14ac:dyDescent="0.2">
      <c r="A1113">
        <v>6952</v>
      </c>
      <c r="B1113" s="342">
        <v>9612</v>
      </c>
      <c r="C1113" t="s">
        <v>707</v>
      </c>
      <c r="D1113">
        <v>0</v>
      </c>
      <c r="E1113">
        <v>-316.86</v>
      </c>
      <c r="F1113">
        <v>0</v>
      </c>
      <c r="G1113">
        <v>-316.86</v>
      </c>
      <c r="H1113">
        <v>-316.86</v>
      </c>
      <c r="I1113">
        <v>0</v>
      </c>
      <c r="J1113">
        <v>0</v>
      </c>
      <c r="K1113">
        <v>0</v>
      </c>
      <c r="L1113">
        <v>0</v>
      </c>
      <c r="M1113">
        <v>0</v>
      </c>
      <c r="N1113">
        <v>0</v>
      </c>
    </row>
    <row r="1114" spans="1:14" ht="12.75" x14ac:dyDescent="0.2">
      <c r="A1114">
        <v>6952</v>
      </c>
      <c r="B1114" s="342">
        <v>9613</v>
      </c>
      <c r="C1114" t="s">
        <v>537</v>
      </c>
      <c r="D1114">
        <v>1545.12</v>
      </c>
      <c r="E1114">
        <v>-15977.23</v>
      </c>
      <c r="F1114">
        <v>0</v>
      </c>
      <c r="G1114">
        <v>-17489.77</v>
      </c>
      <c r="H1114">
        <v>-17489.77</v>
      </c>
      <c r="I1114">
        <v>0</v>
      </c>
      <c r="J1114">
        <v>1545.12</v>
      </c>
      <c r="K1114">
        <v>12873.14</v>
      </c>
      <c r="L1114">
        <v>3845.77</v>
      </c>
      <c r="M1114">
        <v>3845.77</v>
      </c>
      <c r="N1114">
        <v>0</v>
      </c>
    </row>
    <row r="1115" spans="1:14" ht="12.75" x14ac:dyDescent="0.2">
      <c r="A1115">
        <v>6952</v>
      </c>
      <c r="B1115" s="342">
        <v>9614</v>
      </c>
      <c r="C1115" t="s">
        <v>538</v>
      </c>
      <c r="D1115">
        <v>0</v>
      </c>
      <c r="E1115">
        <v>0</v>
      </c>
      <c r="F1115">
        <v>0</v>
      </c>
      <c r="G1115">
        <v>0</v>
      </c>
      <c r="H1115">
        <v>0</v>
      </c>
      <c r="I1115">
        <v>0</v>
      </c>
      <c r="J1115">
        <v>0</v>
      </c>
      <c r="K1115">
        <v>0</v>
      </c>
      <c r="L1115">
        <v>-3732.14</v>
      </c>
      <c r="M1115">
        <v>-3732.14</v>
      </c>
      <c r="N1115">
        <v>0</v>
      </c>
    </row>
    <row r="1116" spans="1:14" ht="12.75" x14ac:dyDescent="0.2">
      <c r="A1116">
        <v>6952</v>
      </c>
      <c r="B1116" s="342">
        <v>9615</v>
      </c>
      <c r="C1116" t="s">
        <v>681</v>
      </c>
      <c r="D1116">
        <v>0</v>
      </c>
      <c r="E1116">
        <v>-16594.43</v>
      </c>
      <c r="F1116">
        <v>0</v>
      </c>
      <c r="G1116">
        <v>-16594.43</v>
      </c>
      <c r="H1116">
        <v>-16594.43</v>
      </c>
      <c r="I1116">
        <v>0</v>
      </c>
      <c r="J1116">
        <v>0</v>
      </c>
      <c r="K1116">
        <v>0</v>
      </c>
      <c r="L1116">
        <v>0</v>
      </c>
      <c r="M1116">
        <v>0</v>
      </c>
      <c r="N1116">
        <v>0</v>
      </c>
    </row>
    <row r="1117" spans="1:14" ht="12.75" x14ac:dyDescent="0.2">
      <c r="A1117">
        <v>6952</v>
      </c>
      <c r="B1117" s="342">
        <v>9616</v>
      </c>
      <c r="C1117" t="s">
        <v>169</v>
      </c>
      <c r="D1117">
        <v>0</v>
      </c>
      <c r="E1117">
        <v>0</v>
      </c>
      <c r="F1117">
        <v>0</v>
      </c>
      <c r="G1117">
        <v>0</v>
      </c>
      <c r="H1117">
        <v>0</v>
      </c>
      <c r="I1117">
        <v>0</v>
      </c>
      <c r="J1117">
        <v>0</v>
      </c>
      <c r="K1117">
        <v>0</v>
      </c>
      <c r="L1117">
        <v>-740.43</v>
      </c>
      <c r="M1117">
        <v>-740.43</v>
      </c>
      <c r="N1117">
        <v>0</v>
      </c>
    </row>
    <row r="1118" spans="1:14" ht="12.75" x14ac:dyDescent="0.2">
      <c r="A1118">
        <v>6952</v>
      </c>
      <c r="B1118" s="342">
        <v>9617</v>
      </c>
      <c r="C1118" t="s">
        <v>965</v>
      </c>
      <c r="D1118">
        <v>1228.6099999999999</v>
      </c>
      <c r="E1118">
        <v>-4276.74</v>
      </c>
      <c r="F1118">
        <v>0</v>
      </c>
      <c r="G1118">
        <v>-5595.98</v>
      </c>
      <c r="H1118">
        <v>-5595.98</v>
      </c>
      <c r="I1118">
        <v>0</v>
      </c>
      <c r="J1118">
        <v>1228.6099999999999</v>
      </c>
      <c r="K1118">
        <v>1319.24</v>
      </c>
      <c r="L1118">
        <v>52.17</v>
      </c>
      <c r="M1118">
        <v>52.17</v>
      </c>
      <c r="N1118">
        <v>0</v>
      </c>
    </row>
    <row r="1119" spans="1:14" ht="12.75" x14ac:dyDescent="0.2">
      <c r="A1119">
        <v>6952</v>
      </c>
      <c r="B1119" s="342">
        <v>9618</v>
      </c>
      <c r="C1119" t="s">
        <v>1034</v>
      </c>
      <c r="D1119">
        <v>0</v>
      </c>
      <c r="E1119">
        <v>-1785.12</v>
      </c>
      <c r="F1119">
        <v>0</v>
      </c>
      <c r="G1119">
        <v>-16084.25</v>
      </c>
      <c r="H1119">
        <v>-16084.25</v>
      </c>
      <c r="I1119">
        <v>0</v>
      </c>
      <c r="J1119">
        <v>0</v>
      </c>
      <c r="K1119">
        <v>14299.13</v>
      </c>
      <c r="L1119">
        <v>3478.5</v>
      </c>
      <c r="M1119">
        <v>3478.5</v>
      </c>
      <c r="N1119">
        <v>0</v>
      </c>
    </row>
    <row r="1120" spans="1:14" ht="12.75" x14ac:dyDescent="0.2">
      <c r="A1120">
        <v>6952</v>
      </c>
      <c r="B1120" s="342">
        <v>9700</v>
      </c>
      <c r="C1120" t="s">
        <v>539</v>
      </c>
      <c r="D1120">
        <v>0</v>
      </c>
      <c r="E1120">
        <v>0</v>
      </c>
      <c r="F1120">
        <v>0</v>
      </c>
      <c r="G1120">
        <v>0</v>
      </c>
      <c r="H1120">
        <v>0</v>
      </c>
      <c r="I1120">
        <v>0</v>
      </c>
      <c r="J1120">
        <v>0</v>
      </c>
      <c r="K1120">
        <v>0</v>
      </c>
      <c r="L1120">
        <v>0</v>
      </c>
      <c r="M1120">
        <v>0</v>
      </c>
      <c r="N1120">
        <v>0</v>
      </c>
    </row>
    <row r="1121" spans="1:14" ht="12.75" x14ac:dyDescent="0.2">
      <c r="A1121">
        <v>6952</v>
      </c>
      <c r="B1121" s="342">
        <v>9701</v>
      </c>
      <c r="C1121" t="s">
        <v>708</v>
      </c>
      <c r="D1121">
        <v>0</v>
      </c>
      <c r="E1121">
        <v>-1034</v>
      </c>
      <c r="F1121">
        <v>0</v>
      </c>
      <c r="G1121">
        <v>-1034</v>
      </c>
      <c r="H1121">
        <v>-1034</v>
      </c>
      <c r="I1121">
        <v>0</v>
      </c>
      <c r="J1121">
        <v>0</v>
      </c>
      <c r="K1121">
        <v>0</v>
      </c>
      <c r="L1121">
        <v>0</v>
      </c>
      <c r="M1121">
        <v>0</v>
      </c>
      <c r="N1121">
        <v>0</v>
      </c>
    </row>
    <row r="1122" spans="1:14" ht="12.75" x14ac:dyDescent="0.2">
      <c r="A1122">
        <v>6952</v>
      </c>
      <c r="B1122" s="342">
        <v>9702</v>
      </c>
      <c r="C1122" t="s">
        <v>709</v>
      </c>
      <c r="D1122">
        <v>0</v>
      </c>
      <c r="E1122">
        <v>-6586.95</v>
      </c>
      <c r="F1122">
        <v>0</v>
      </c>
      <c r="G1122">
        <v>-6586.95</v>
      </c>
      <c r="H1122">
        <v>-6586.95</v>
      </c>
      <c r="I1122">
        <v>0</v>
      </c>
      <c r="J1122">
        <v>0</v>
      </c>
      <c r="K1122">
        <v>0</v>
      </c>
      <c r="L1122">
        <v>2500</v>
      </c>
      <c r="M1122">
        <v>2500</v>
      </c>
      <c r="N1122">
        <v>0</v>
      </c>
    </row>
    <row r="1123" spans="1:14" ht="12.75" x14ac:dyDescent="0.2">
      <c r="A1123">
        <v>6952</v>
      </c>
      <c r="B1123" s="342">
        <v>9703</v>
      </c>
      <c r="C1123" t="s">
        <v>710</v>
      </c>
      <c r="D1123">
        <v>0</v>
      </c>
      <c r="E1123">
        <v>-3213</v>
      </c>
      <c r="F1123">
        <v>0</v>
      </c>
      <c r="G1123">
        <v>-3213</v>
      </c>
      <c r="H1123">
        <v>-3213</v>
      </c>
      <c r="I1123">
        <v>0</v>
      </c>
      <c r="J1123">
        <v>0</v>
      </c>
      <c r="K1123">
        <v>0</v>
      </c>
      <c r="L1123">
        <v>0</v>
      </c>
      <c r="M1123">
        <v>0</v>
      </c>
      <c r="N1123">
        <v>0</v>
      </c>
    </row>
    <row r="1124" spans="1:14" ht="12.75" x14ac:dyDescent="0.2">
      <c r="A1124">
        <v>6952</v>
      </c>
      <c r="B1124" s="342">
        <v>9704</v>
      </c>
      <c r="C1124" t="s">
        <v>711</v>
      </c>
      <c r="D1124">
        <v>0</v>
      </c>
      <c r="E1124">
        <v>-48326.18</v>
      </c>
      <c r="F1124">
        <v>0</v>
      </c>
      <c r="G1124">
        <v>-48326.18</v>
      </c>
      <c r="H1124">
        <v>-48326.18</v>
      </c>
      <c r="I1124">
        <v>0</v>
      </c>
      <c r="J1124">
        <v>0</v>
      </c>
      <c r="K1124">
        <v>0</v>
      </c>
      <c r="L1124">
        <v>0</v>
      </c>
      <c r="M1124">
        <v>0</v>
      </c>
      <c r="N1124">
        <v>0</v>
      </c>
    </row>
    <row r="1125" spans="1:14" ht="12.75" x14ac:dyDescent="0.2">
      <c r="A1125">
        <v>6952</v>
      </c>
      <c r="B1125" s="342">
        <v>9705</v>
      </c>
      <c r="C1125" t="s">
        <v>712</v>
      </c>
      <c r="D1125">
        <v>0</v>
      </c>
      <c r="E1125">
        <v>-89316</v>
      </c>
      <c r="F1125">
        <v>0</v>
      </c>
      <c r="G1125">
        <v>-89316</v>
      </c>
      <c r="H1125">
        <v>-89316</v>
      </c>
      <c r="I1125">
        <v>0</v>
      </c>
      <c r="J1125">
        <v>0</v>
      </c>
      <c r="K1125">
        <v>0</v>
      </c>
      <c r="L1125">
        <v>0</v>
      </c>
      <c r="M1125">
        <v>0</v>
      </c>
      <c r="N1125">
        <v>0</v>
      </c>
    </row>
    <row r="1126" spans="1:14" ht="12.75" x14ac:dyDescent="0.2">
      <c r="A1126">
        <v>6952</v>
      </c>
      <c r="B1126" s="342">
        <v>9706</v>
      </c>
      <c r="C1126" t="s">
        <v>713</v>
      </c>
      <c r="D1126">
        <v>0</v>
      </c>
      <c r="E1126">
        <v>-29477.48</v>
      </c>
      <c r="F1126">
        <v>0</v>
      </c>
      <c r="G1126">
        <v>-29477.48</v>
      </c>
      <c r="H1126">
        <v>-29477.48</v>
      </c>
      <c r="I1126">
        <v>0</v>
      </c>
      <c r="J1126">
        <v>0</v>
      </c>
      <c r="K1126">
        <v>0</v>
      </c>
      <c r="L1126">
        <v>0</v>
      </c>
      <c r="M1126">
        <v>0</v>
      </c>
      <c r="N1126">
        <v>0</v>
      </c>
    </row>
    <row r="1127" spans="1:14" ht="12.75" x14ac:dyDescent="0.2">
      <c r="A1127">
        <v>6952</v>
      </c>
      <c r="B1127" s="342">
        <v>9707</v>
      </c>
      <c r="C1127" t="s">
        <v>714</v>
      </c>
      <c r="D1127">
        <v>0</v>
      </c>
      <c r="E1127">
        <v>-548</v>
      </c>
      <c r="F1127">
        <v>0</v>
      </c>
      <c r="G1127">
        <v>-548</v>
      </c>
      <c r="H1127">
        <v>-548</v>
      </c>
      <c r="I1127">
        <v>0</v>
      </c>
      <c r="J1127">
        <v>0</v>
      </c>
      <c r="K1127">
        <v>0</v>
      </c>
      <c r="L1127">
        <v>0</v>
      </c>
      <c r="M1127">
        <v>0</v>
      </c>
      <c r="N1127">
        <v>0</v>
      </c>
    </row>
    <row r="1128" spans="1:14" ht="12.75" x14ac:dyDescent="0.2">
      <c r="A1128">
        <v>6952</v>
      </c>
      <c r="B1128" s="342">
        <v>9708</v>
      </c>
      <c r="C1128" t="s">
        <v>715</v>
      </c>
      <c r="D1128">
        <v>0</v>
      </c>
      <c r="E1128">
        <v>-4513</v>
      </c>
      <c r="F1128">
        <v>0</v>
      </c>
      <c r="G1128">
        <v>-4513</v>
      </c>
      <c r="H1128">
        <v>-4513</v>
      </c>
      <c r="I1128">
        <v>0</v>
      </c>
      <c r="J1128">
        <v>0</v>
      </c>
      <c r="K1128">
        <v>0</v>
      </c>
      <c r="L1128">
        <v>0</v>
      </c>
      <c r="M1128">
        <v>0</v>
      </c>
      <c r="N1128">
        <v>0</v>
      </c>
    </row>
    <row r="1129" spans="1:14" ht="12.75" x14ac:dyDescent="0.2">
      <c r="A1129">
        <v>6952</v>
      </c>
      <c r="B1129" s="342">
        <v>9709</v>
      </c>
      <c r="C1129" t="s">
        <v>716</v>
      </c>
      <c r="D1129">
        <v>0</v>
      </c>
      <c r="E1129">
        <v>0</v>
      </c>
      <c r="F1129">
        <v>0</v>
      </c>
      <c r="G1129">
        <v>0</v>
      </c>
      <c r="H1129">
        <v>0</v>
      </c>
      <c r="I1129">
        <v>0</v>
      </c>
      <c r="J1129">
        <v>0</v>
      </c>
      <c r="K1129">
        <v>0</v>
      </c>
      <c r="L1129">
        <v>0</v>
      </c>
      <c r="M1129">
        <v>0</v>
      </c>
      <c r="N1129">
        <v>0</v>
      </c>
    </row>
    <row r="1130" spans="1:14" ht="12.75" x14ac:dyDescent="0.2">
      <c r="A1130">
        <v>6952</v>
      </c>
      <c r="B1130" s="342">
        <v>9710</v>
      </c>
      <c r="C1130" t="s">
        <v>717</v>
      </c>
      <c r="D1130">
        <v>0</v>
      </c>
      <c r="E1130">
        <v>-2951</v>
      </c>
      <c r="F1130">
        <v>0</v>
      </c>
      <c r="G1130">
        <v>-2951</v>
      </c>
      <c r="H1130">
        <v>-2951</v>
      </c>
      <c r="I1130">
        <v>0</v>
      </c>
      <c r="J1130">
        <v>0</v>
      </c>
      <c r="K1130">
        <v>0</v>
      </c>
      <c r="L1130">
        <v>0</v>
      </c>
      <c r="M1130">
        <v>0</v>
      </c>
      <c r="N1130">
        <v>0</v>
      </c>
    </row>
    <row r="1131" spans="1:14" ht="12.75" x14ac:dyDescent="0.2">
      <c r="A1131">
        <v>6952</v>
      </c>
      <c r="B1131" s="342">
        <v>9711</v>
      </c>
      <c r="C1131" t="s">
        <v>718</v>
      </c>
      <c r="D1131">
        <v>0</v>
      </c>
      <c r="E1131">
        <v>-11422</v>
      </c>
      <c r="F1131">
        <v>0</v>
      </c>
      <c r="G1131">
        <v>-11422</v>
      </c>
      <c r="H1131">
        <v>-11422</v>
      </c>
      <c r="I1131">
        <v>0</v>
      </c>
      <c r="J1131">
        <v>0</v>
      </c>
      <c r="K1131">
        <v>0</v>
      </c>
      <c r="L1131">
        <v>0</v>
      </c>
      <c r="M1131">
        <v>0</v>
      </c>
      <c r="N1131">
        <v>0</v>
      </c>
    </row>
    <row r="1132" spans="1:14" ht="12.75" x14ac:dyDescent="0.2">
      <c r="A1132">
        <v>6952</v>
      </c>
      <c r="B1132" s="342">
        <v>9712</v>
      </c>
      <c r="C1132" t="s">
        <v>719</v>
      </c>
      <c r="D1132">
        <v>0</v>
      </c>
      <c r="E1132">
        <v>-6661</v>
      </c>
      <c r="F1132">
        <v>0</v>
      </c>
      <c r="G1132">
        <v>-6661</v>
      </c>
      <c r="H1132">
        <v>-6661</v>
      </c>
      <c r="I1132">
        <v>0</v>
      </c>
      <c r="J1132">
        <v>0</v>
      </c>
      <c r="K1132">
        <v>0</v>
      </c>
      <c r="L1132">
        <v>0</v>
      </c>
      <c r="M1132">
        <v>0</v>
      </c>
      <c r="N1132">
        <v>0</v>
      </c>
    </row>
    <row r="1133" spans="1:14" ht="12.75" x14ac:dyDescent="0.2">
      <c r="A1133">
        <v>6952</v>
      </c>
      <c r="B1133" s="342">
        <v>9713</v>
      </c>
      <c r="C1133" t="s">
        <v>1132</v>
      </c>
      <c r="D1133">
        <v>0</v>
      </c>
      <c r="E1133">
        <v>-403358.07</v>
      </c>
      <c r="F1133">
        <v>0</v>
      </c>
      <c r="G1133">
        <v>-409658.27</v>
      </c>
      <c r="H1133">
        <v>-409658.27</v>
      </c>
      <c r="I1133">
        <v>0</v>
      </c>
      <c r="J1133">
        <v>0</v>
      </c>
      <c r="K1133">
        <v>6300.2</v>
      </c>
      <c r="L1133">
        <v>0</v>
      </c>
      <c r="M1133">
        <v>0</v>
      </c>
      <c r="N1133">
        <v>0</v>
      </c>
    </row>
    <row r="1134" spans="1:14" ht="12.75" x14ac:dyDescent="0.2">
      <c r="A1134">
        <v>6952</v>
      </c>
      <c r="B1134">
        <v>9998</v>
      </c>
      <c r="C1134" t="s">
        <v>540</v>
      </c>
      <c r="D1134">
        <v>0</v>
      </c>
      <c r="E1134">
        <v>0</v>
      </c>
      <c r="F1134">
        <v>0</v>
      </c>
      <c r="G1134">
        <v>0</v>
      </c>
      <c r="H1134">
        <v>0</v>
      </c>
      <c r="I1134">
        <v>0</v>
      </c>
      <c r="J1134">
        <v>0</v>
      </c>
      <c r="K1134">
        <v>0</v>
      </c>
      <c r="L1134">
        <v>0</v>
      </c>
      <c r="M1134">
        <v>0</v>
      </c>
      <c r="N1134">
        <v>0</v>
      </c>
    </row>
    <row r="1135" spans="1:14" ht="12.75" x14ac:dyDescent="0.2">
      <c r="A1135">
        <v>6952</v>
      </c>
      <c r="B1135">
        <v>9999</v>
      </c>
      <c r="C1135" t="s">
        <v>541</v>
      </c>
      <c r="D1135">
        <v>0</v>
      </c>
      <c r="E1135">
        <v>0</v>
      </c>
      <c r="F1135">
        <v>0</v>
      </c>
      <c r="G1135">
        <v>0</v>
      </c>
      <c r="H1135">
        <v>0</v>
      </c>
      <c r="I1135">
        <v>0</v>
      </c>
      <c r="J1135">
        <v>0</v>
      </c>
      <c r="K1135">
        <v>113315141.03</v>
      </c>
      <c r="L1135">
        <v>99818067.629999995</v>
      </c>
      <c r="M1135">
        <v>99818067.629999995</v>
      </c>
      <c r="N1135">
        <v>0</v>
      </c>
    </row>
    <row r="1136" spans="1:14" ht="12.75" x14ac:dyDescent="0.2">
      <c r="A1136">
        <v>6952</v>
      </c>
      <c r="B1136" t="s">
        <v>542</v>
      </c>
      <c r="C1136" t="s">
        <v>543</v>
      </c>
      <c r="D1136">
        <v>0</v>
      </c>
      <c r="E1136">
        <v>0</v>
      </c>
      <c r="F1136">
        <v>0</v>
      </c>
      <c r="G1136">
        <v>0</v>
      </c>
      <c r="H1136">
        <v>0</v>
      </c>
      <c r="I1136">
        <v>0</v>
      </c>
      <c r="J1136">
        <v>0</v>
      </c>
      <c r="K1136">
        <v>0</v>
      </c>
      <c r="L1136">
        <v>0</v>
      </c>
      <c r="M1136">
        <v>0</v>
      </c>
      <c r="N1136">
        <v>0</v>
      </c>
    </row>
    <row r="1137" spans="1:14" ht="12.75" x14ac:dyDescent="0.2">
      <c r="A1137">
        <v>6952</v>
      </c>
      <c r="B1137" s="342" t="s">
        <v>544</v>
      </c>
      <c r="C1137" t="s">
        <v>545</v>
      </c>
      <c r="D1137">
        <v>0</v>
      </c>
      <c r="E1137">
        <v>0</v>
      </c>
      <c r="F1137">
        <v>0</v>
      </c>
      <c r="G1137">
        <v>0</v>
      </c>
      <c r="H1137">
        <v>0</v>
      </c>
      <c r="I1137">
        <v>0</v>
      </c>
      <c r="J1137">
        <v>0</v>
      </c>
      <c r="K1137">
        <v>0</v>
      </c>
      <c r="L1137">
        <v>0</v>
      </c>
      <c r="M1137">
        <v>0</v>
      </c>
      <c r="N1137">
        <v>0</v>
      </c>
    </row>
    <row r="1138" spans="1:14" ht="12.75" x14ac:dyDescent="0.2">
      <c r="A1138">
        <v>6952</v>
      </c>
      <c r="B1138" s="342" t="s">
        <v>137</v>
      </c>
      <c r="C1138" t="s">
        <v>902</v>
      </c>
      <c r="D1138">
        <v>-12910.58</v>
      </c>
      <c r="E1138">
        <v>-12910.58</v>
      </c>
      <c r="F1138">
        <v>0</v>
      </c>
      <c r="G1138">
        <v>-8986.23</v>
      </c>
      <c r="H1138">
        <v>-8986.23</v>
      </c>
      <c r="I1138">
        <v>0</v>
      </c>
      <c r="J1138">
        <v>-12910.58</v>
      </c>
      <c r="K1138">
        <v>0</v>
      </c>
      <c r="L1138">
        <v>0</v>
      </c>
      <c r="M1138">
        <v>0</v>
      </c>
      <c r="N1138">
        <v>0</v>
      </c>
    </row>
    <row r="1139" spans="1:14" ht="12.75" x14ac:dyDescent="0.2">
      <c r="A1139">
        <v>6952</v>
      </c>
      <c r="B1139" s="342" t="s">
        <v>1054</v>
      </c>
      <c r="C1139" t="s">
        <v>1055</v>
      </c>
      <c r="D1139">
        <v>0</v>
      </c>
      <c r="E1139">
        <v>0</v>
      </c>
      <c r="F1139">
        <v>0</v>
      </c>
      <c r="G1139">
        <v>0</v>
      </c>
      <c r="H1139">
        <v>0</v>
      </c>
      <c r="I1139">
        <v>0</v>
      </c>
      <c r="J1139">
        <v>0</v>
      </c>
      <c r="K1139">
        <v>0</v>
      </c>
      <c r="L1139">
        <v>0</v>
      </c>
      <c r="M1139">
        <v>0</v>
      </c>
      <c r="N1139">
        <v>0</v>
      </c>
    </row>
    <row r="1140" spans="1:14" ht="12.75" x14ac:dyDescent="0.2">
      <c r="A1140">
        <v>6952</v>
      </c>
      <c r="B1140" s="342" t="s">
        <v>546</v>
      </c>
      <c r="C1140" t="s">
        <v>720</v>
      </c>
      <c r="D1140">
        <v>0</v>
      </c>
      <c r="E1140">
        <v>0</v>
      </c>
      <c r="F1140">
        <v>0</v>
      </c>
      <c r="G1140">
        <v>892.17</v>
      </c>
      <c r="H1140">
        <v>892.17</v>
      </c>
      <c r="I1140">
        <v>0</v>
      </c>
      <c r="J1140">
        <v>0</v>
      </c>
      <c r="K1140">
        <v>0</v>
      </c>
      <c r="L1140">
        <v>892.17</v>
      </c>
      <c r="M1140">
        <v>892.17</v>
      </c>
      <c r="N1140">
        <v>0</v>
      </c>
    </row>
    <row r="1141" spans="1:14" ht="12.75" x14ac:dyDescent="0.2">
      <c r="A1141">
        <v>6952</v>
      </c>
      <c r="B1141" s="342" t="s">
        <v>547</v>
      </c>
      <c r="C1141" t="s">
        <v>721</v>
      </c>
      <c r="D1141">
        <v>6836.06</v>
      </c>
      <c r="E1141">
        <v>164621.51</v>
      </c>
      <c r="F1141">
        <v>182389</v>
      </c>
      <c r="G1141">
        <v>99422.65</v>
      </c>
      <c r="H1141">
        <v>99422.65</v>
      </c>
      <c r="I1141">
        <v>182389</v>
      </c>
      <c r="J1141">
        <v>6836.06</v>
      </c>
      <c r="K1141">
        <v>165196.51</v>
      </c>
      <c r="L1141">
        <v>99422.65</v>
      </c>
      <c r="M1141">
        <v>99422.65</v>
      </c>
      <c r="N1141">
        <v>0</v>
      </c>
    </row>
    <row r="1142" spans="1:14" ht="12.75" x14ac:dyDescent="0.2">
      <c r="A1142">
        <v>6952</v>
      </c>
      <c r="B1142" s="342" t="s">
        <v>548</v>
      </c>
      <c r="C1142" t="s">
        <v>903</v>
      </c>
      <c r="D1142">
        <v>0</v>
      </c>
      <c r="E1142">
        <v>9721.9500000000007</v>
      </c>
      <c r="F1142">
        <v>33400</v>
      </c>
      <c r="G1142">
        <v>11854.2</v>
      </c>
      <c r="H1142">
        <v>11854.2</v>
      </c>
      <c r="I1142">
        <v>33400</v>
      </c>
      <c r="J1142">
        <v>0</v>
      </c>
      <c r="K1142">
        <v>9721.9500000000007</v>
      </c>
      <c r="L1142">
        <v>11854.2</v>
      </c>
      <c r="M1142">
        <v>11854.2</v>
      </c>
      <c r="N1142">
        <v>0</v>
      </c>
    </row>
    <row r="1143" spans="1:14" ht="12.75" x14ac:dyDescent="0.2">
      <c r="A1143">
        <v>6952</v>
      </c>
      <c r="B1143" s="342" t="s">
        <v>549</v>
      </c>
      <c r="C1143" t="s">
        <v>722</v>
      </c>
      <c r="D1143">
        <v>0</v>
      </c>
      <c r="E1143">
        <v>0</v>
      </c>
      <c r="F1143">
        <v>0</v>
      </c>
      <c r="G1143">
        <v>517.39</v>
      </c>
      <c r="H1143">
        <v>517.39</v>
      </c>
      <c r="I1143">
        <v>0</v>
      </c>
      <c r="J1143">
        <v>0</v>
      </c>
      <c r="K1143">
        <v>3975.56</v>
      </c>
      <c r="L1143">
        <v>517.39</v>
      </c>
      <c r="M1143">
        <v>517.39</v>
      </c>
      <c r="N1143">
        <v>0</v>
      </c>
    </row>
    <row r="1144" spans="1:14" ht="12.75" x14ac:dyDescent="0.2">
      <c r="A1144">
        <v>6952</v>
      </c>
      <c r="B1144" s="342" t="s">
        <v>550</v>
      </c>
      <c r="C1144" t="s">
        <v>723</v>
      </c>
      <c r="D1144">
        <v>2694.33</v>
      </c>
      <c r="E1144">
        <v>17452.580000000002</v>
      </c>
      <c r="F1144">
        <v>82000</v>
      </c>
      <c r="G1144">
        <v>10134.14</v>
      </c>
      <c r="H1144">
        <v>10134.14</v>
      </c>
      <c r="I1144">
        <v>82000</v>
      </c>
      <c r="J1144">
        <v>2694.33</v>
      </c>
      <c r="K1144">
        <v>17452.580000000002</v>
      </c>
      <c r="L1144">
        <v>10134.14</v>
      </c>
      <c r="M1144">
        <v>10134.14</v>
      </c>
      <c r="N1144">
        <v>0</v>
      </c>
    </row>
    <row r="1145" spans="1:14" ht="12.75" x14ac:dyDescent="0.2">
      <c r="A1145">
        <v>6952</v>
      </c>
      <c r="B1145" s="342" t="s">
        <v>551</v>
      </c>
      <c r="C1145" t="s">
        <v>724</v>
      </c>
      <c r="D1145">
        <v>0</v>
      </c>
      <c r="E1145">
        <v>2275</v>
      </c>
      <c r="F1145">
        <v>2100</v>
      </c>
      <c r="G1145">
        <v>1472</v>
      </c>
      <c r="H1145">
        <v>1472</v>
      </c>
      <c r="I1145">
        <v>2100</v>
      </c>
      <c r="J1145">
        <v>0</v>
      </c>
      <c r="K1145">
        <v>2275</v>
      </c>
      <c r="L1145">
        <v>1472</v>
      </c>
      <c r="M1145">
        <v>1472</v>
      </c>
      <c r="N1145">
        <v>0</v>
      </c>
    </row>
    <row r="1146" spans="1:14" ht="12.75" x14ac:dyDescent="0.2">
      <c r="A1146">
        <v>6952</v>
      </c>
      <c r="B1146" s="342" t="s">
        <v>552</v>
      </c>
      <c r="C1146" t="s">
        <v>725</v>
      </c>
      <c r="D1146">
        <v>0</v>
      </c>
      <c r="E1146">
        <v>4304.3500000000004</v>
      </c>
      <c r="F1146">
        <v>37200</v>
      </c>
      <c r="G1146">
        <v>2883.48</v>
      </c>
      <c r="H1146">
        <v>2883.48</v>
      </c>
      <c r="I1146">
        <v>37200</v>
      </c>
      <c r="J1146">
        <v>0</v>
      </c>
      <c r="K1146">
        <v>4304.3500000000004</v>
      </c>
      <c r="L1146">
        <v>2883.48</v>
      </c>
      <c r="M1146">
        <v>2883.48</v>
      </c>
      <c r="N1146">
        <v>0</v>
      </c>
    </row>
    <row r="1147" spans="1:14" ht="12.75" x14ac:dyDescent="0.2">
      <c r="A1147">
        <v>6952</v>
      </c>
      <c r="B1147" s="342" t="s">
        <v>553</v>
      </c>
      <c r="C1147" t="s">
        <v>726</v>
      </c>
      <c r="D1147">
        <v>0</v>
      </c>
      <c r="E1147">
        <v>6411.95</v>
      </c>
      <c r="F1147">
        <v>5300</v>
      </c>
      <c r="G1147">
        <v>643.76</v>
      </c>
      <c r="H1147">
        <v>643.76</v>
      </c>
      <c r="I1147">
        <v>5300</v>
      </c>
      <c r="J1147">
        <v>0</v>
      </c>
      <c r="K1147">
        <v>6411.95</v>
      </c>
      <c r="L1147">
        <v>643.76</v>
      </c>
      <c r="M1147">
        <v>643.76</v>
      </c>
      <c r="N1147">
        <v>0</v>
      </c>
    </row>
    <row r="1148" spans="1:14" ht="12.75" x14ac:dyDescent="0.2">
      <c r="A1148">
        <v>6952</v>
      </c>
      <c r="B1148" s="342" t="s">
        <v>554</v>
      </c>
      <c r="C1148" t="s">
        <v>727</v>
      </c>
      <c r="D1148">
        <v>0</v>
      </c>
      <c r="E1148">
        <v>0</v>
      </c>
      <c r="F1148">
        <v>0</v>
      </c>
      <c r="G1148">
        <v>0</v>
      </c>
      <c r="H1148">
        <v>0</v>
      </c>
      <c r="I1148">
        <v>0</v>
      </c>
      <c r="J1148">
        <v>0</v>
      </c>
      <c r="K1148">
        <v>0</v>
      </c>
      <c r="L1148">
        <v>0</v>
      </c>
      <c r="M1148">
        <v>0</v>
      </c>
      <c r="N1148">
        <v>0</v>
      </c>
    </row>
    <row r="1149" spans="1:14" ht="12.75" x14ac:dyDescent="0.2">
      <c r="A1149">
        <v>6952</v>
      </c>
      <c r="B1149" s="342" t="s">
        <v>555</v>
      </c>
      <c r="C1149" t="s">
        <v>728</v>
      </c>
      <c r="D1149">
        <v>0</v>
      </c>
      <c r="E1149">
        <v>5104.51</v>
      </c>
      <c r="F1149">
        <v>4250</v>
      </c>
      <c r="G1149">
        <v>4138.7299999999996</v>
      </c>
      <c r="H1149">
        <v>4138.7299999999996</v>
      </c>
      <c r="I1149">
        <v>4250</v>
      </c>
      <c r="J1149">
        <v>0</v>
      </c>
      <c r="K1149">
        <v>5104.51</v>
      </c>
      <c r="L1149">
        <v>4138.7299999999996</v>
      </c>
      <c r="M1149">
        <v>4138.7299999999996</v>
      </c>
      <c r="N1149">
        <v>0</v>
      </c>
    </row>
    <row r="1150" spans="1:14" ht="12.75" x14ac:dyDescent="0.2">
      <c r="A1150">
        <v>6952</v>
      </c>
      <c r="B1150" s="342" t="s">
        <v>556</v>
      </c>
      <c r="C1150" t="s">
        <v>729</v>
      </c>
      <c r="D1150">
        <v>0</v>
      </c>
      <c r="E1150">
        <v>53090</v>
      </c>
      <c r="F1150">
        <v>4000</v>
      </c>
      <c r="G1150">
        <v>36533.43</v>
      </c>
      <c r="H1150">
        <v>36533.43</v>
      </c>
      <c r="I1150">
        <v>4000</v>
      </c>
      <c r="J1150">
        <v>0</v>
      </c>
      <c r="K1150">
        <v>53090</v>
      </c>
      <c r="L1150">
        <v>36533.43</v>
      </c>
      <c r="M1150">
        <v>36533.43</v>
      </c>
      <c r="N1150">
        <v>0</v>
      </c>
    </row>
    <row r="1151" spans="1:14" ht="12.75" x14ac:dyDescent="0.2">
      <c r="A1151">
        <v>6952</v>
      </c>
      <c r="B1151" s="342" t="s">
        <v>557</v>
      </c>
      <c r="C1151" t="s">
        <v>1568</v>
      </c>
      <c r="D1151">
        <v>0</v>
      </c>
      <c r="E1151">
        <v>0</v>
      </c>
      <c r="F1151">
        <v>0</v>
      </c>
      <c r="G1151">
        <v>0</v>
      </c>
      <c r="H1151">
        <v>0</v>
      </c>
      <c r="I1151">
        <v>0</v>
      </c>
      <c r="J1151">
        <v>0</v>
      </c>
      <c r="K1151">
        <v>0</v>
      </c>
      <c r="L1151">
        <v>0</v>
      </c>
      <c r="M1151">
        <v>0</v>
      </c>
      <c r="N1151">
        <v>0</v>
      </c>
    </row>
    <row r="1152" spans="1:14" ht="12.75" x14ac:dyDescent="0.2">
      <c r="A1152">
        <v>6952</v>
      </c>
      <c r="B1152" s="342" t="s">
        <v>558</v>
      </c>
      <c r="C1152" t="s">
        <v>730</v>
      </c>
      <c r="D1152">
        <v>0</v>
      </c>
      <c r="E1152">
        <v>42665.37</v>
      </c>
      <c r="F1152">
        <v>68964</v>
      </c>
      <c r="G1152">
        <v>34081.81</v>
      </c>
      <c r="H1152">
        <v>34081.81</v>
      </c>
      <c r="I1152">
        <v>68964</v>
      </c>
      <c r="J1152">
        <v>0</v>
      </c>
      <c r="K1152">
        <v>42665.37</v>
      </c>
      <c r="L1152">
        <v>34081.81</v>
      </c>
      <c r="M1152">
        <v>34081.81</v>
      </c>
      <c r="N1152">
        <v>0</v>
      </c>
    </row>
    <row r="1153" spans="1:14" ht="12.75" x14ac:dyDescent="0.2">
      <c r="A1153">
        <v>6952</v>
      </c>
      <c r="B1153" s="342" t="s">
        <v>563</v>
      </c>
      <c r="C1153" t="s">
        <v>731</v>
      </c>
      <c r="D1153">
        <v>0</v>
      </c>
      <c r="E1153">
        <v>0</v>
      </c>
      <c r="F1153">
        <v>0</v>
      </c>
      <c r="G1153">
        <v>886</v>
      </c>
      <c r="H1153">
        <v>886</v>
      </c>
      <c r="I1153">
        <v>0</v>
      </c>
      <c r="J1153">
        <v>0</v>
      </c>
      <c r="K1153">
        <v>0</v>
      </c>
      <c r="L1153">
        <v>886</v>
      </c>
      <c r="M1153">
        <v>886</v>
      </c>
      <c r="N1153">
        <v>0</v>
      </c>
    </row>
    <row r="1154" spans="1:14" ht="12.75" x14ac:dyDescent="0.2">
      <c r="A1154">
        <v>6952</v>
      </c>
      <c r="B1154" s="342" t="s">
        <v>564</v>
      </c>
      <c r="C1154" t="s">
        <v>732</v>
      </c>
      <c r="D1154">
        <v>0</v>
      </c>
      <c r="E1154">
        <v>1295</v>
      </c>
      <c r="F1154">
        <v>1400</v>
      </c>
      <c r="G1154">
        <v>3515.74</v>
      </c>
      <c r="H1154">
        <v>3515.74</v>
      </c>
      <c r="I1154">
        <v>1400</v>
      </c>
      <c r="J1154">
        <v>0</v>
      </c>
      <c r="K1154">
        <v>1295</v>
      </c>
      <c r="L1154">
        <v>3515.74</v>
      </c>
      <c r="M1154">
        <v>3515.74</v>
      </c>
      <c r="N1154">
        <v>0</v>
      </c>
    </row>
    <row r="1155" spans="1:14" ht="12.75" x14ac:dyDescent="0.2">
      <c r="A1155">
        <v>6952</v>
      </c>
      <c r="B1155" s="342" t="s">
        <v>565</v>
      </c>
      <c r="C1155" t="s">
        <v>733</v>
      </c>
      <c r="D1155">
        <v>0</v>
      </c>
      <c r="E1155">
        <v>4599.08</v>
      </c>
      <c r="F1155">
        <v>4800</v>
      </c>
      <c r="G1155">
        <v>9535.2099999999991</v>
      </c>
      <c r="H1155">
        <v>9535.2099999999991</v>
      </c>
      <c r="I1155">
        <v>4800</v>
      </c>
      <c r="J1155">
        <v>0</v>
      </c>
      <c r="K1155">
        <v>4599.08</v>
      </c>
      <c r="L1155">
        <v>9535.2099999999991</v>
      </c>
      <c r="M1155">
        <v>9535.2099999999991</v>
      </c>
      <c r="N1155">
        <v>0</v>
      </c>
    </row>
    <row r="1156" spans="1:14" ht="12.75" x14ac:dyDescent="0.2">
      <c r="A1156">
        <v>6952</v>
      </c>
      <c r="B1156" s="342" t="s">
        <v>566</v>
      </c>
      <c r="C1156" t="s">
        <v>734</v>
      </c>
      <c r="D1156">
        <v>0</v>
      </c>
      <c r="E1156">
        <v>1295</v>
      </c>
      <c r="F1156">
        <v>1400</v>
      </c>
      <c r="G1156">
        <v>2335</v>
      </c>
      <c r="H1156">
        <v>2335</v>
      </c>
      <c r="I1156">
        <v>1400</v>
      </c>
      <c r="J1156">
        <v>0</v>
      </c>
      <c r="K1156">
        <v>1295</v>
      </c>
      <c r="L1156">
        <v>2335</v>
      </c>
      <c r="M1156">
        <v>2335</v>
      </c>
      <c r="N1156">
        <v>0</v>
      </c>
    </row>
    <row r="1157" spans="1:14" ht="12.75" x14ac:dyDescent="0.2">
      <c r="A1157">
        <v>6952</v>
      </c>
      <c r="B1157" s="342" t="s">
        <v>567</v>
      </c>
      <c r="C1157" t="s">
        <v>735</v>
      </c>
      <c r="D1157">
        <v>0</v>
      </c>
      <c r="E1157">
        <v>0</v>
      </c>
      <c r="F1157">
        <v>0</v>
      </c>
      <c r="G1157">
        <v>0</v>
      </c>
      <c r="H1157">
        <v>0</v>
      </c>
      <c r="I1157">
        <v>0</v>
      </c>
      <c r="J1157">
        <v>0</v>
      </c>
      <c r="K1157">
        <v>0</v>
      </c>
      <c r="L1157">
        <v>0</v>
      </c>
      <c r="M1157">
        <v>0</v>
      </c>
      <c r="N1157">
        <v>0</v>
      </c>
    </row>
    <row r="1158" spans="1:14" ht="12.75" x14ac:dyDescent="0.2">
      <c r="A1158">
        <v>6952</v>
      </c>
      <c r="B1158" s="342" t="s">
        <v>568</v>
      </c>
      <c r="C1158" t="s">
        <v>736</v>
      </c>
      <c r="D1158">
        <v>0</v>
      </c>
      <c r="E1158">
        <v>0</v>
      </c>
      <c r="F1158">
        <v>0</v>
      </c>
      <c r="G1158">
        <v>0</v>
      </c>
      <c r="H1158">
        <v>0</v>
      </c>
      <c r="I1158">
        <v>0</v>
      </c>
      <c r="J1158">
        <v>0</v>
      </c>
      <c r="K1158">
        <v>0</v>
      </c>
      <c r="L1158">
        <v>0</v>
      </c>
      <c r="M1158">
        <v>0</v>
      </c>
      <c r="N1158">
        <v>0</v>
      </c>
    </row>
    <row r="1159" spans="1:14" ht="12.75" x14ac:dyDescent="0.2">
      <c r="A1159">
        <v>6952</v>
      </c>
      <c r="B1159" s="342" t="s">
        <v>569</v>
      </c>
      <c r="C1159" t="s">
        <v>570</v>
      </c>
      <c r="D1159">
        <v>0</v>
      </c>
      <c r="E1159">
        <v>0</v>
      </c>
      <c r="F1159">
        <v>0</v>
      </c>
      <c r="G1159">
        <v>0</v>
      </c>
      <c r="H1159">
        <v>0</v>
      </c>
      <c r="I1159">
        <v>0</v>
      </c>
      <c r="J1159">
        <v>0</v>
      </c>
      <c r="K1159">
        <v>0</v>
      </c>
      <c r="L1159">
        <v>0</v>
      </c>
      <c r="M1159">
        <v>0</v>
      </c>
      <c r="N1159">
        <v>0</v>
      </c>
    </row>
    <row r="1160" spans="1:14" ht="12.75" x14ac:dyDescent="0.2">
      <c r="A1160">
        <v>6952</v>
      </c>
      <c r="B1160" s="342" t="s">
        <v>571</v>
      </c>
      <c r="C1160" t="s">
        <v>572</v>
      </c>
      <c r="D1160">
        <v>0</v>
      </c>
      <c r="E1160">
        <v>0</v>
      </c>
      <c r="F1160">
        <v>0</v>
      </c>
      <c r="G1160">
        <v>0</v>
      </c>
      <c r="H1160">
        <v>0</v>
      </c>
      <c r="I1160">
        <v>0</v>
      </c>
      <c r="J1160">
        <v>0</v>
      </c>
      <c r="K1160">
        <v>0</v>
      </c>
      <c r="L1160">
        <v>0</v>
      </c>
      <c r="M1160">
        <v>0</v>
      </c>
      <c r="N1160">
        <v>0</v>
      </c>
    </row>
    <row r="1161" spans="1:14" ht="12.75" x14ac:dyDescent="0.2">
      <c r="A1161">
        <v>6952</v>
      </c>
      <c r="B1161" s="342" t="s">
        <v>573</v>
      </c>
      <c r="C1161" t="s">
        <v>737</v>
      </c>
      <c r="D1161">
        <v>0</v>
      </c>
      <c r="E1161">
        <v>2901.72</v>
      </c>
      <c r="F1161">
        <v>0</v>
      </c>
      <c r="G1161">
        <v>10595.62</v>
      </c>
      <c r="H1161">
        <v>10595.62</v>
      </c>
      <c r="I1161">
        <v>0</v>
      </c>
      <c r="J1161">
        <v>0</v>
      </c>
      <c r="K1161">
        <v>2901.72</v>
      </c>
      <c r="L1161">
        <v>10595.62</v>
      </c>
      <c r="M1161">
        <v>10595.62</v>
      </c>
      <c r="N1161">
        <v>0</v>
      </c>
    </row>
    <row r="1162" spans="1:14" ht="12.75" x14ac:dyDescent="0.2">
      <c r="A1162">
        <v>6952</v>
      </c>
      <c r="B1162" s="342" t="s">
        <v>574</v>
      </c>
      <c r="C1162" t="s">
        <v>575</v>
      </c>
      <c r="D1162">
        <v>5093.6400000000003</v>
      </c>
      <c r="E1162">
        <v>12523.68</v>
      </c>
      <c r="F1162">
        <v>3335</v>
      </c>
      <c r="G1162">
        <v>879.24</v>
      </c>
      <c r="H1162">
        <v>879.24</v>
      </c>
      <c r="I1162">
        <v>3335</v>
      </c>
      <c r="J1162">
        <v>5093.6400000000003</v>
      </c>
      <c r="K1162">
        <v>12523.68</v>
      </c>
      <c r="L1162">
        <v>879.24</v>
      </c>
      <c r="M1162">
        <v>879.24</v>
      </c>
      <c r="N1162">
        <v>0</v>
      </c>
    </row>
    <row r="1163" spans="1:14" ht="12.75" x14ac:dyDescent="0.2">
      <c r="A1163">
        <v>6952</v>
      </c>
      <c r="B1163" s="342" t="s">
        <v>138</v>
      </c>
      <c r="C1163" t="s">
        <v>904</v>
      </c>
      <c r="D1163">
        <v>0</v>
      </c>
      <c r="E1163">
        <v>1844</v>
      </c>
      <c r="F1163">
        <v>2700</v>
      </c>
      <c r="G1163">
        <v>2694.65</v>
      </c>
      <c r="H1163">
        <v>2694.65</v>
      </c>
      <c r="I1163">
        <v>2700</v>
      </c>
      <c r="J1163">
        <v>0</v>
      </c>
      <c r="K1163">
        <v>1844</v>
      </c>
      <c r="L1163">
        <v>2694.65</v>
      </c>
      <c r="M1163">
        <v>2694.65</v>
      </c>
      <c r="N1163">
        <v>0</v>
      </c>
    </row>
    <row r="1164" spans="1:14" ht="12.75" x14ac:dyDescent="0.2">
      <c r="A1164">
        <v>6952</v>
      </c>
      <c r="B1164" s="342" t="s">
        <v>139</v>
      </c>
      <c r="C1164" t="s">
        <v>1133</v>
      </c>
      <c r="D1164">
        <v>0</v>
      </c>
      <c r="E1164">
        <v>0</v>
      </c>
      <c r="F1164">
        <v>0</v>
      </c>
      <c r="G1164">
        <v>0</v>
      </c>
      <c r="H1164">
        <v>0</v>
      </c>
      <c r="I1164">
        <v>0</v>
      </c>
      <c r="J1164">
        <v>0</v>
      </c>
      <c r="K1164">
        <v>0</v>
      </c>
      <c r="L1164">
        <v>0</v>
      </c>
      <c r="M1164">
        <v>0</v>
      </c>
      <c r="N1164">
        <v>0</v>
      </c>
    </row>
    <row r="1165" spans="1:14" ht="12.75" x14ac:dyDescent="0.2">
      <c r="A1165">
        <v>6952</v>
      </c>
      <c r="B1165" s="342" t="s">
        <v>1056</v>
      </c>
      <c r="C1165" t="s">
        <v>1057</v>
      </c>
      <c r="D1165">
        <v>0</v>
      </c>
      <c r="E1165">
        <v>0</v>
      </c>
      <c r="F1165">
        <v>0</v>
      </c>
      <c r="G1165">
        <v>0</v>
      </c>
      <c r="H1165">
        <v>0</v>
      </c>
      <c r="I1165">
        <v>0</v>
      </c>
      <c r="J1165">
        <v>0</v>
      </c>
      <c r="K1165">
        <v>0</v>
      </c>
      <c r="L1165">
        <v>0</v>
      </c>
      <c r="M1165">
        <v>0</v>
      </c>
      <c r="N1165">
        <v>0</v>
      </c>
    </row>
    <row r="1166" spans="1:14" ht="12.75" x14ac:dyDescent="0.2">
      <c r="A1166">
        <v>6952</v>
      </c>
      <c r="B1166" s="342" t="s">
        <v>1134</v>
      </c>
      <c r="C1166" t="s">
        <v>1135</v>
      </c>
      <c r="D1166">
        <v>10997.5</v>
      </c>
      <c r="E1166">
        <v>32967.4</v>
      </c>
      <c r="F1166">
        <v>12700</v>
      </c>
      <c r="G1166">
        <v>6576.37</v>
      </c>
      <c r="H1166">
        <v>6576.37</v>
      </c>
      <c r="I1166">
        <v>12700</v>
      </c>
      <c r="J1166">
        <v>10997.5</v>
      </c>
      <c r="K1166">
        <v>32967.4</v>
      </c>
      <c r="L1166">
        <v>7334.23</v>
      </c>
      <c r="M1166">
        <v>7334.23</v>
      </c>
      <c r="N1166">
        <v>0</v>
      </c>
    </row>
    <row r="1167" spans="1:14" ht="12.75" x14ac:dyDescent="0.2">
      <c r="A1167">
        <v>6952</v>
      </c>
      <c r="B1167" s="342" t="s">
        <v>1491</v>
      </c>
      <c r="C1167" t="s">
        <v>1492</v>
      </c>
      <c r="D1167">
        <v>0</v>
      </c>
      <c r="E1167">
        <v>91811.74</v>
      </c>
      <c r="F1167">
        <v>0</v>
      </c>
      <c r="G1167">
        <v>130816.08</v>
      </c>
      <c r="H1167">
        <v>130816.08</v>
      </c>
      <c r="I1167">
        <v>0</v>
      </c>
      <c r="J1167">
        <v>0</v>
      </c>
      <c r="K1167">
        <v>91811.74</v>
      </c>
      <c r="L1167">
        <v>219220.08</v>
      </c>
      <c r="M1167">
        <v>219220.08</v>
      </c>
      <c r="N1167">
        <v>0</v>
      </c>
    </row>
    <row r="1168" spans="1:14" ht="12.75" x14ac:dyDescent="0.2">
      <c r="A1168">
        <v>6952</v>
      </c>
      <c r="B1168" t="s">
        <v>1690</v>
      </c>
      <c r="C1168" t="s">
        <v>1691</v>
      </c>
      <c r="D1168">
        <v>0</v>
      </c>
      <c r="E1168">
        <v>0</v>
      </c>
      <c r="F1168">
        <v>0</v>
      </c>
      <c r="G1168">
        <v>0</v>
      </c>
      <c r="H1168">
        <v>0</v>
      </c>
      <c r="I1168">
        <v>0</v>
      </c>
      <c r="J1168">
        <v>0</v>
      </c>
      <c r="K1168">
        <v>0</v>
      </c>
      <c r="L1168">
        <v>0</v>
      </c>
      <c r="M1168">
        <v>0</v>
      </c>
      <c r="N1168">
        <v>0</v>
      </c>
    </row>
    <row r="1169" spans="1:14" ht="12.75" x14ac:dyDescent="0.2">
      <c r="A1169">
        <v>6952</v>
      </c>
      <c r="B1169" s="342" t="s">
        <v>576</v>
      </c>
      <c r="C1169" t="s">
        <v>577</v>
      </c>
      <c r="D1169">
        <v>0</v>
      </c>
      <c r="E1169">
        <v>0</v>
      </c>
      <c r="F1169">
        <v>0</v>
      </c>
      <c r="G1169">
        <v>0</v>
      </c>
      <c r="H1169">
        <v>0</v>
      </c>
      <c r="I1169">
        <v>0</v>
      </c>
      <c r="J1169">
        <v>0</v>
      </c>
      <c r="K1169">
        <v>0</v>
      </c>
      <c r="L1169">
        <v>0</v>
      </c>
      <c r="M1169">
        <v>0</v>
      </c>
      <c r="N1169">
        <v>0</v>
      </c>
    </row>
    <row r="1170" spans="1:14" ht="12.75" x14ac:dyDescent="0.2">
      <c r="A1170">
        <v>6952</v>
      </c>
      <c r="B1170" s="342" t="s">
        <v>578</v>
      </c>
      <c r="C1170" t="s">
        <v>579</v>
      </c>
      <c r="D1170">
        <v>0</v>
      </c>
      <c r="E1170">
        <v>0</v>
      </c>
      <c r="F1170">
        <v>0</v>
      </c>
      <c r="G1170">
        <v>0</v>
      </c>
      <c r="H1170">
        <v>0</v>
      </c>
      <c r="I1170">
        <v>0</v>
      </c>
      <c r="J1170">
        <v>0</v>
      </c>
      <c r="K1170">
        <v>0</v>
      </c>
      <c r="L1170">
        <v>0</v>
      </c>
      <c r="M1170">
        <v>0</v>
      </c>
      <c r="N1170">
        <v>0</v>
      </c>
    </row>
    <row r="1171" spans="1:14" ht="12.75" x14ac:dyDescent="0.2">
      <c r="A1171">
        <v>6952</v>
      </c>
      <c r="B1171" s="342" t="s">
        <v>580</v>
      </c>
      <c r="C1171" t="s">
        <v>581</v>
      </c>
      <c r="D1171">
        <v>0</v>
      </c>
      <c r="E1171">
        <v>609.05999999999995</v>
      </c>
      <c r="F1171">
        <v>0</v>
      </c>
      <c r="G1171">
        <v>475</v>
      </c>
      <c r="H1171">
        <v>475</v>
      </c>
      <c r="I1171">
        <v>0</v>
      </c>
      <c r="J1171">
        <v>0</v>
      </c>
      <c r="K1171">
        <v>609.05999999999995</v>
      </c>
      <c r="L1171">
        <v>475</v>
      </c>
      <c r="M1171">
        <v>475</v>
      </c>
      <c r="N1171">
        <v>0</v>
      </c>
    </row>
    <row r="1172" spans="1:14" ht="12.75" x14ac:dyDescent="0.2">
      <c r="A1172">
        <v>6952</v>
      </c>
      <c r="B1172" s="342" t="s">
        <v>582</v>
      </c>
      <c r="C1172" t="s">
        <v>583</v>
      </c>
      <c r="D1172">
        <v>0</v>
      </c>
      <c r="E1172">
        <v>0</v>
      </c>
      <c r="F1172">
        <v>0</v>
      </c>
      <c r="G1172">
        <v>0</v>
      </c>
      <c r="H1172">
        <v>0</v>
      </c>
      <c r="I1172">
        <v>0</v>
      </c>
      <c r="J1172">
        <v>0</v>
      </c>
      <c r="K1172">
        <v>0</v>
      </c>
      <c r="L1172">
        <v>0</v>
      </c>
      <c r="M1172">
        <v>0</v>
      </c>
      <c r="N1172">
        <v>0</v>
      </c>
    </row>
    <row r="1173" spans="1:14" ht="12.75" x14ac:dyDescent="0.2">
      <c r="A1173">
        <v>6952</v>
      </c>
      <c r="B1173" s="342" t="s">
        <v>584</v>
      </c>
      <c r="C1173" t="s">
        <v>792</v>
      </c>
      <c r="D1173">
        <v>0</v>
      </c>
      <c r="E1173">
        <v>0</v>
      </c>
      <c r="F1173">
        <v>0</v>
      </c>
      <c r="G1173">
        <v>2658.61</v>
      </c>
      <c r="H1173">
        <v>2658.61</v>
      </c>
      <c r="I1173">
        <v>0</v>
      </c>
      <c r="J1173">
        <v>0</v>
      </c>
      <c r="K1173">
        <v>0</v>
      </c>
      <c r="L1173">
        <v>2658.61</v>
      </c>
      <c r="M1173">
        <v>2658.61</v>
      </c>
      <c r="N1173">
        <v>0</v>
      </c>
    </row>
    <row r="1174" spans="1:14" ht="12.75" x14ac:dyDescent="0.2">
      <c r="A1174">
        <v>6952</v>
      </c>
      <c r="B1174" s="342" t="s">
        <v>585</v>
      </c>
      <c r="C1174" t="s">
        <v>764</v>
      </c>
      <c r="D1174">
        <v>0</v>
      </c>
      <c r="E1174">
        <v>0</v>
      </c>
      <c r="F1174">
        <v>0</v>
      </c>
      <c r="G1174">
        <v>0</v>
      </c>
      <c r="H1174">
        <v>0</v>
      </c>
      <c r="I1174">
        <v>0</v>
      </c>
      <c r="J1174">
        <v>0</v>
      </c>
      <c r="K1174">
        <v>0</v>
      </c>
      <c r="L1174">
        <v>0</v>
      </c>
      <c r="M1174">
        <v>0</v>
      </c>
      <c r="N1174">
        <v>0</v>
      </c>
    </row>
    <row r="1175" spans="1:14" ht="12.75" x14ac:dyDescent="0.2">
      <c r="A1175">
        <v>6952</v>
      </c>
      <c r="B1175" s="342" t="s">
        <v>586</v>
      </c>
      <c r="C1175" t="s">
        <v>587</v>
      </c>
      <c r="D1175">
        <v>0</v>
      </c>
      <c r="E1175">
        <v>0</v>
      </c>
      <c r="F1175">
        <v>0</v>
      </c>
      <c r="G1175">
        <v>0</v>
      </c>
      <c r="H1175">
        <v>0</v>
      </c>
      <c r="I1175">
        <v>0</v>
      </c>
      <c r="J1175">
        <v>0</v>
      </c>
      <c r="K1175">
        <v>0</v>
      </c>
      <c r="L1175">
        <v>0</v>
      </c>
      <c r="M1175">
        <v>0</v>
      </c>
      <c r="N1175">
        <v>0</v>
      </c>
    </row>
    <row r="1176" spans="1:14" ht="12.75" x14ac:dyDescent="0.2">
      <c r="A1176">
        <v>6952</v>
      </c>
      <c r="B1176" s="342" t="s">
        <v>588</v>
      </c>
      <c r="C1176" t="s">
        <v>589</v>
      </c>
      <c r="D1176">
        <v>0</v>
      </c>
      <c r="E1176">
        <v>0</v>
      </c>
      <c r="F1176">
        <v>0</v>
      </c>
      <c r="G1176">
        <v>0</v>
      </c>
      <c r="H1176">
        <v>0</v>
      </c>
      <c r="I1176">
        <v>0</v>
      </c>
      <c r="J1176">
        <v>0</v>
      </c>
      <c r="K1176">
        <v>0</v>
      </c>
      <c r="L1176">
        <v>0</v>
      </c>
      <c r="M1176">
        <v>0</v>
      </c>
      <c r="N1176">
        <v>0</v>
      </c>
    </row>
    <row r="1177" spans="1:14" ht="12.75" x14ac:dyDescent="0.2">
      <c r="A1177">
        <v>6952</v>
      </c>
      <c r="B1177" s="342" t="s">
        <v>590</v>
      </c>
      <c r="C1177" t="s">
        <v>591</v>
      </c>
      <c r="D1177">
        <v>0</v>
      </c>
      <c r="E1177">
        <v>0</v>
      </c>
      <c r="F1177">
        <v>0</v>
      </c>
      <c r="G1177">
        <v>0</v>
      </c>
      <c r="H1177">
        <v>0</v>
      </c>
      <c r="I1177">
        <v>0</v>
      </c>
      <c r="J1177">
        <v>0</v>
      </c>
      <c r="K1177">
        <v>0</v>
      </c>
      <c r="L1177">
        <v>0</v>
      </c>
      <c r="M1177">
        <v>0</v>
      </c>
      <c r="N1177">
        <v>0</v>
      </c>
    </row>
    <row r="1178" spans="1:14" ht="12.75" x14ac:dyDescent="0.2">
      <c r="A1178">
        <v>6952</v>
      </c>
      <c r="B1178" s="342" t="s">
        <v>1692</v>
      </c>
      <c r="C1178" t="s">
        <v>1693</v>
      </c>
      <c r="D1178">
        <v>0</v>
      </c>
      <c r="E1178">
        <v>4868.5200000000004</v>
      </c>
      <c r="F1178">
        <v>0</v>
      </c>
      <c r="G1178">
        <v>0</v>
      </c>
      <c r="H1178">
        <v>0</v>
      </c>
      <c r="I1178">
        <v>0</v>
      </c>
      <c r="J1178">
        <v>0</v>
      </c>
      <c r="K1178">
        <v>4868.5200000000004</v>
      </c>
      <c r="L1178">
        <v>0</v>
      </c>
      <c r="M1178">
        <v>0</v>
      </c>
      <c r="N1178">
        <v>0</v>
      </c>
    </row>
    <row r="1179" spans="1:14" ht="12.75" x14ac:dyDescent="0.2">
      <c r="A1179">
        <v>6952</v>
      </c>
      <c r="B1179" s="342" t="s">
        <v>592</v>
      </c>
      <c r="C1179" t="s">
        <v>593</v>
      </c>
      <c r="D1179">
        <v>4394.09</v>
      </c>
      <c r="E1179">
        <v>172839.98</v>
      </c>
      <c r="F1179">
        <v>308650</v>
      </c>
      <c r="G1179">
        <v>1494146.55</v>
      </c>
      <c r="H1179">
        <v>1494146.55</v>
      </c>
      <c r="I1179">
        <v>308650</v>
      </c>
      <c r="J1179">
        <v>4394.09</v>
      </c>
      <c r="K1179">
        <v>172839.98</v>
      </c>
      <c r="L1179">
        <v>1499807.46</v>
      </c>
      <c r="M1179">
        <v>1499807.46</v>
      </c>
      <c r="N1179">
        <v>0</v>
      </c>
    </row>
    <row r="1180" spans="1:14" ht="12.75" x14ac:dyDescent="0.2">
      <c r="A1180">
        <v>6952</v>
      </c>
      <c r="B1180" s="342" t="s">
        <v>1569</v>
      </c>
      <c r="C1180" t="s">
        <v>1570</v>
      </c>
      <c r="D1180">
        <v>0</v>
      </c>
      <c r="E1180">
        <v>1463.95</v>
      </c>
      <c r="F1180">
        <v>0</v>
      </c>
      <c r="G1180">
        <v>0</v>
      </c>
      <c r="H1180">
        <v>0</v>
      </c>
      <c r="I1180">
        <v>0</v>
      </c>
      <c r="J1180">
        <v>0</v>
      </c>
      <c r="K1180">
        <v>1463.95</v>
      </c>
      <c r="L1180">
        <v>0</v>
      </c>
      <c r="M1180">
        <v>0</v>
      </c>
      <c r="N1180">
        <v>0</v>
      </c>
    </row>
    <row r="1181" spans="1:14" ht="12.75" x14ac:dyDescent="0.2">
      <c r="A1181">
        <v>6952</v>
      </c>
      <c r="B1181" s="342" t="s">
        <v>594</v>
      </c>
      <c r="C1181" t="s">
        <v>595</v>
      </c>
      <c r="D1181">
        <v>0</v>
      </c>
      <c r="E1181">
        <v>0</v>
      </c>
      <c r="F1181">
        <v>0</v>
      </c>
      <c r="G1181">
        <v>13026.57</v>
      </c>
      <c r="H1181">
        <v>13026.57</v>
      </c>
      <c r="I1181">
        <v>0</v>
      </c>
      <c r="J1181">
        <v>0</v>
      </c>
      <c r="K1181">
        <v>0</v>
      </c>
      <c r="L1181">
        <v>13026.57</v>
      </c>
      <c r="M1181">
        <v>13026.57</v>
      </c>
      <c r="N1181">
        <v>0</v>
      </c>
    </row>
    <row r="1182" spans="1:14" ht="12.75" x14ac:dyDescent="0.2">
      <c r="A1182">
        <v>6952</v>
      </c>
      <c r="B1182" s="342" t="s">
        <v>596</v>
      </c>
      <c r="C1182" t="s">
        <v>597</v>
      </c>
      <c r="D1182">
        <v>0</v>
      </c>
      <c r="E1182">
        <v>0</v>
      </c>
      <c r="F1182">
        <v>0</v>
      </c>
      <c r="G1182">
        <v>0</v>
      </c>
      <c r="H1182">
        <v>0</v>
      </c>
      <c r="I1182">
        <v>0</v>
      </c>
      <c r="J1182">
        <v>0</v>
      </c>
      <c r="K1182">
        <v>0</v>
      </c>
      <c r="L1182">
        <v>0</v>
      </c>
      <c r="M1182">
        <v>0</v>
      </c>
      <c r="N1182">
        <v>0</v>
      </c>
    </row>
    <row r="1183" spans="1:14" ht="12.75" x14ac:dyDescent="0.2">
      <c r="A1183">
        <v>6952</v>
      </c>
      <c r="B1183" s="342" t="s">
        <v>598</v>
      </c>
      <c r="C1183" t="s">
        <v>738</v>
      </c>
      <c r="D1183">
        <v>0</v>
      </c>
      <c r="E1183">
        <v>0</v>
      </c>
      <c r="F1183">
        <v>0</v>
      </c>
      <c r="G1183">
        <v>0</v>
      </c>
      <c r="H1183">
        <v>0</v>
      </c>
      <c r="I1183">
        <v>0</v>
      </c>
      <c r="J1183">
        <v>0</v>
      </c>
      <c r="K1183">
        <v>0</v>
      </c>
      <c r="L1183">
        <v>0</v>
      </c>
      <c r="M1183">
        <v>0</v>
      </c>
      <c r="N1183">
        <v>0</v>
      </c>
    </row>
    <row r="1184" spans="1:14" ht="12.75" x14ac:dyDescent="0.2">
      <c r="A1184">
        <v>6952</v>
      </c>
      <c r="B1184" t="s">
        <v>140</v>
      </c>
      <c r="C1184" t="s">
        <v>141</v>
      </c>
      <c r="D1184">
        <v>0</v>
      </c>
      <c r="E1184">
        <v>0</v>
      </c>
      <c r="F1184">
        <v>0</v>
      </c>
      <c r="G1184">
        <v>0</v>
      </c>
      <c r="H1184">
        <v>0</v>
      </c>
      <c r="I1184">
        <v>0</v>
      </c>
      <c r="J1184">
        <v>0</v>
      </c>
      <c r="K1184">
        <v>0</v>
      </c>
      <c r="L1184">
        <v>0</v>
      </c>
      <c r="M1184">
        <v>0</v>
      </c>
      <c r="N1184">
        <v>0</v>
      </c>
    </row>
    <row r="1185" spans="1:14" ht="12.75" x14ac:dyDescent="0.2">
      <c r="A1185">
        <v>6952</v>
      </c>
      <c r="B1185" s="342" t="s">
        <v>1694</v>
      </c>
      <c r="C1185" t="s">
        <v>1695</v>
      </c>
      <c r="D1185">
        <v>195.1</v>
      </c>
      <c r="E1185">
        <v>195.1</v>
      </c>
      <c r="F1185">
        <v>0</v>
      </c>
      <c r="G1185">
        <v>0</v>
      </c>
      <c r="H1185">
        <v>0</v>
      </c>
      <c r="I1185">
        <v>0</v>
      </c>
      <c r="J1185">
        <v>195.1</v>
      </c>
      <c r="K1185">
        <v>195.1</v>
      </c>
      <c r="L1185">
        <v>0</v>
      </c>
      <c r="M1185">
        <v>0</v>
      </c>
      <c r="N1185">
        <v>0</v>
      </c>
    </row>
    <row r="1186" spans="1:14" ht="12.75" x14ac:dyDescent="0.2">
      <c r="A1186">
        <v>6952</v>
      </c>
      <c r="B1186" s="342" t="s">
        <v>905</v>
      </c>
      <c r="C1186" t="s">
        <v>792</v>
      </c>
      <c r="D1186">
        <v>0</v>
      </c>
      <c r="E1186">
        <v>0</v>
      </c>
      <c r="F1186">
        <v>0</v>
      </c>
      <c r="G1186">
        <v>0</v>
      </c>
      <c r="H1186">
        <v>0</v>
      </c>
      <c r="I1186">
        <v>0</v>
      </c>
      <c r="J1186">
        <v>0</v>
      </c>
      <c r="K1186">
        <v>0</v>
      </c>
      <c r="L1186">
        <v>0</v>
      </c>
      <c r="M1186">
        <v>0</v>
      </c>
      <c r="N1186">
        <v>0</v>
      </c>
    </row>
    <row r="1187" spans="1:14" ht="12.75" x14ac:dyDescent="0.2">
      <c r="A1187">
        <v>6952</v>
      </c>
      <c r="B1187" s="342" t="s">
        <v>906</v>
      </c>
      <c r="C1187" t="s">
        <v>907</v>
      </c>
      <c r="D1187">
        <v>1613.34</v>
      </c>
      <c r="E1187">
        <v>67865.91</v>
      </c>
      <c r="F1187">
        <v>0</v>
      </c>
      <c r="G1187">
        <v>77621.17</v>
      </c>
      <c r="H1187">
        <v>77621.17</v>
      </c>
      <c r="I1187">
        <v>0</v>
      </c>
      <c r="J1187">
        <v>1613.34</v>
      </c>
      <c r="K1187">
        <v>70485.679999999993</v>
      </c>
      <c r="L1187">
        <v>77621.17</v>
      </c>
      <c r="M1187">
        <v>77621.17</v>
      </c>
      <c r="N1187">
        <v>0</v>
      </c>
    </row>
    <row r="1188" spans="1:14" ht="12.75" x14ac:dyDescent="0.2">
      <c r="A1188">
        <v>6952</v>
      </c>
      <c r="B1188" s="342" t="s">
        <v>1571</v>
      </c>
      <c r="C1188" t="s">
        <v>1572</v>
      </c>
      <c r="D1188">
        <v>0</v>
      </c>
      <c r="E1188">
        <v>0</v>
      </c>
      <c r="F1188">
        <v>0</v>
      </c>
      <c r="G1188">
        <v>3595</v>
      </c>
      <c r="H1188">
        <v>3595</v>
      </c>
      <c r="I1188">
        <v>0</v>
      </c>
      <c r="J1188">
        <v>0</v>
      </c>
      <c r="K1188">
        <v>0</v>
      </c>
      <c r="L1188">
        <v>3595</v>
      </c>
      <c r="M1188">
        <v>3595</v>
      </c>
      <c r="N1188">
        <v>0</v>
      </c>
    </row>
    <row r="1189" spans="1:14" ht="12.75" x14ac:dyDescent="0.2">
      <c r="A1189">
        <v>6952</v>
      </c>
      <c r="B1189" s="342" t="s">
        <v>599</v>
      </c>
      <c r="C1189" t="s">
        <v>612</v>
      </c>
      <c r="D1189">
        <v>-66957.240000000005</v>
      </c>
      <c r="E1189">
        <v>-713410.02</v>
      </c>
      <c r="F1189">
        <v>-809000</v>
      </c>
      <c r="G1189">
        <v>-629498.22</v>
      </c>
      <c r="H1189">
        <v>-629498.22</v>
      </c>
      <c r="I1189">
        <v>-809000</v>
      </c>
      <c r="J1189">
        <v>-66957.240000000005</v>
      </c>
      <c r="K1189">
        <v>0</v>
      </c>
      <c r="L1189">
        <v>0</v>
      </c>
      <c r="M1189">
        <v>0</v>
      </c>
      <c r="N1189">
        <v>0</v>
      </c>
    </row>
    <row r="1190" spans="1:14" ht="12.75" x14ac:dyDescent="0.2">
      <c r="A1190">
        <v>6952</v>
      </c>
      <c r="B1190" t="s">
        <v>600</v>
      </c>
      <c r="C1190" t="s">
        <v>1063</v>
      </c>
      <c r="D1190">
        <v>0</v>
      </c>
      <c r="E1190">
        <v>0</v>
      </c>
      <c r="F1190">
        <v>0</v>
      </c>
      <c r="G1190">
        <v>0</v>
      </c>
      <c r="H1190">
        <v>0</v>
      </c>
      <c r="I1190">
        <v>0</v>
      </c>
      <c r="J1190">
        <v>0</v>
      </c>
      <c r="K1190">
        <v>0</v>
      </c>
      <c r="L1190">
        <v>0</v>
      </c>
      <c r="M1190">
        <v>0</v>
      </c>
      <c r="N1190">
        <v>0</v>
      </c>
    </row>
    <row r="1191" spans="1:14" ht="12.75" x14ac:dyDescent="0.2">
      <c r="A1191">
        <v>6952</v>
      </c>
      <c r="B1191" s="343" t="s">
        <v>1493</v>
      </c>
      <c r="C1191" t="s">
        <v>1494</v>
      </c>
      <c r="D1191">
        <v>0</v>
      </c>
      <c r="E1191">
        <v>-182000</v>
      </c>
      <c r="F1191">
        <v>0</v>
      </c>
      <c r="G1191">
        <v>-182000</v>
      </c>
      <c r="H1191">
        <v>-182000</v>
      </c>
      <c r="I1191">
        <v>0</v>
      </c>
      <c r="J1191">
        <v>0</v>
      </c>
      <c r="K1191">
        <v>0</v>
      </c>
      <c r="L1191">
        <v>0</v>
      </c>
      <c r="M1191">
        <v>0</v>
      </c>
      <c r="N1191">
        <v>0</v>
      </c>
    </row>
    <row r="1192" spans="1:14" ht="12.75" x14ac:dyDescent="0.2">
      <c r="A1192">
        <v>6952</v>
      </c>
      <c r="B1192" s="343" t="s">
        <v>1495</v>
      </c>
      <c r="C1192" t="s">
        <v>1696</v>
      </c>
      <c r="D1192">
        <v>-4644.8599999999997</v>
      </c>
      <c r="E1192">
        <v>203334</v>
      </c>
      <c r="F1192">
        <v>0</v>
      </c>
      <c r="G1192">
        <v>200000</v>
      </c>
      <c r="H1192">
        <v>200000</v>
      </c>
      <c r="I1192">
        <v>0</v>
      </c>
      <c r="J1192">
        <v>-4644.8599999999997</v>
      </c>
      <c r="K1192">
        <v>7978.86</v>
      </c>
      <c r="L1192">
        <v>170725.27</v>
      </c>
      <c r="M1192">
        <v>170725.27</v>
      </c>
      <c r="N1192">
        <v>0</v>
      </c>
    </row>
    <row r="1193" spans="1:14" ht="12.75" x14ac:dyDescent="0.2">
      <c r="A1193">
        <v>6952</v>
      </c>
      <c r="B1193" t="s">
        <v>1573</v>
      </c>
      <c r="C1193" t="s">
        <v>1574</v>
      </c>
      <c r="D1193">
        <v>0</v>
      </c>
      <c r="E1193">
        <v>0</v>
      </c>
      <c r="F1193">
        <v>0</v>
      </c>
      <c r="G1193">
        <v>0</v>
      </c>
      <c r="H1193">
        <v>0</v>
      </c>
      <c r="I1193">
        <v>0</v>
      </c>
      <c r="J1193">
        <v>0</v>
      </c>
      <c r="K1193">
        <v>0</v>
      </c>
      <c r="L1193">
        <v>0</v>
      </c>
      <c r="M1193">
        <v>0</v>
      </c>
      <c r="N1193">
        <v>0</v>
      </c>
    </row>
    <row r="1194" spans="1:14" ht="12.75" x14ac:dyDescent="0.2">
      <c r="A1194">
        <v>6952</v>
      </c>
      <c r="B1194" s="343" t="s">
        <v>1575</v>
      </c>
      <c r="C1194" t="s">
        <v>1697</v>
      </c>
      <c r="D1194">
        <v>0</v>
      </c>
      <c r="E1194">
        <v>11945.5</v>
      </c>
      <c r="F1194">
        <v>0</v>
      </c>
      <c r="G1194">
        <v>11945.5</v>
      </c>
      <c r="H1194">
        <v>11945.5</v>
      </c>
      <c r="I1194">
        <v>0</v>
      </c>
      <c r="J1194">
        <v>0</v>
      </c>
      <c r="K1194">
        <v>0</v>
      </c>
      <c r="L1194">
        <v>11945.5</v>
      </c>
      <c r="M1194">
        <v>11945.5</v>
      </c>
      <c r="N1194">
        <v>0</v>
      </c>
    </row>
    <row r="1195" spans="1:14" ht="12.75" x14ac:dyDescent="0.2">
      <c r="A1195">
        <v>6952</v>
      </c>
      <c r="B1195" s="343" t="s">
        <v>1650</v>
      </c>
      <c r="C1195" t="s">
        <v>1649</v>
      </c>
      <c r="D1195">
        <v>0</v>
      </c>
      <c r="E1195">
        <v>-150000</v>
      </c>
      <c r="F1195">
        <v>0</v>
      </c>
      <c r="G1195">
        <v>-150000</v>
      </c>
      <c r="H1195">
        <v>-150000</v>
      </c>
      <c r="I1195">
        <v>0</v>
      </c>
      <c r="J1195">
        <v>0</v>
      </c>
      <c r="K1195">
        <v>0</v>
      </c>
      <c r="L1195">
        <v>0</v>
      </c>
      <c r="M1195">
        <v>0</v>
      </c>
      <c r="N1195">
        <v>0</v>
      </c>
    </row>
    <row r="1196" spans="1:14" ht="12.75" x14ac:dyDescent="0.2">
      <c r="A1196">
        <v>6952</v>
      </c>
      <c r="B1196" s="343" t="s">
        <v>1651</v>
      </c>
      <c r="C1196" t="s">
        <v>1652</v>
      </c>
      <c r="D1196">
        <v>0</v>
      </c>
      <c r="E1196">
        <v>150000</v>
      </c>
      <c r="F1196">
        <v>0</v>
      </c>
      <c r="G1196">
        <v>88404</v>
      </c>
      <c r="H1196">
        <v>88404</v>
      </c>
      <c r="I1196">
        <v>0</v>
      </c>
      <c r="J1196">
        <v>0</v>
      </c>
      <c r="K1196">
        <v>61596</v>
      </c>
      <c r="L1196">
        <v>88404</v>
      </c>
      <c r="M1196">
        <v>88404</v>
      </c>
      <c r="N1196">
        <v>0</v>
      </c>
    </row>
    <row r="1197" spans="1:14" ht="12.75" x14ac:dyDescent="0.2">
      <c r="A1197">
        <v>6952</v>
      </c>
      <c r="B1197" t="s">
        <v>1448</v>
      </c>
      <c r="C1197" t="s">
        <v>20</v>
      </c>
      <c r="D1197">
        <v>0</v>
      </c>
      <c r="E1197">
        <v>0</v>
      </c>
      <c r="F1197">
        <v>0</v>
      </c>
      <c r="G1197">
        <v>0</v>
      </c>
      <c r="H1197">
        <v>0</v>
      </c>
      <c r="I1197">
        <v>0</v>
      </c>
      <c r="J1197">
        <v>0</v>
      </c>
      <c r="K1197">
        <v>0</v>
      </c>
      <c r="L1197">
        <v>0</v>
      </c>
      <c r="M1197">
        <v>0</v>
      </c>
      <c r="N1197">
        <v>0</v>
      </c>
    </row>
    <row r="1198" spans="1:14" ht="12.75" x14ac:dyDescent="0.2">
      <c r="A1198">
        <v>6952</v>
      </c>
      <c r="B1198" t="s">
        <v>1449</v>
      </c>
      <c r="C1198" t="s">
        <v>21</v>
      </c>
      <c r="D1198">
        <v>0</v>
      </c>
      <c r="E1198">
        <v>0</v>
      </c>
      <c r="F1198">
        <v>0</v>
      </c>
      <c r="G1198">
        <v>0</v>
      </c>
      <c r="H1198">
        <v>0</v>
      </c>
      <c r="I1198">
        <v>0</v>
      </c>
      <c r="J1198">
        <v>0</v>
      </c>
      <c r="K1198">
        <v>0</v>
      </c>
      <c r="L1198">
        <v>0</v>
      </c>
      <c r="M1198">
        <v>0</v>
      </c>
      <c r="N1198">
        <v>0</v>
      </c>
    </row>
    <row r="1199" spans="1:14" ht="12.75" x14ac:dyDescent="0.2">
      <c r="A1199">
        <v>6952</v>
      </c>
      <c r="B1199" t="s">
        <v>1450</v>
      </c>
      <c r="C1199" t="s">
        <v>759</v>
      </c>
      <c r="D1199">
        <v>0</v>
      </c>
      <c r="E1199">
        <v>0</v>
      </c>
      <c r="F1199">
        <v>0</v>
      </c>
      <c r="G1199">
        <v>0</v>
      </c>
      <c r="H1199">
        <v>0</v>
      </c>
      <c r="I1199">
        <v>0</v>
      </c>
      <c r="J1199">
        <v>0</v>
      </c>
      <c r="K1199">
        <v>0</v>
      </c>
      <c r="L1199">
        <v>0</v>
      </c>
      <c r="M1199">
        <v>0</v>
      </c>
      <c r="N1199">
        <v>0</v>
      </c>
    </row>
    <row r="1200" spans="1:14" ht="12.75" x14ac:dyDescent="0.2">
      <c r="A1200">
        <v>6952</v>
      </c>
      <c r="B1200" s="342" t="s">
        <v>1451</v>
      </c>
      <c r="C1200" t="s">
        <v>386</v>
      </c>
      <c r="D1200">
        <v>0</v>
      </c>
      <c r="E1200">
        <v>0</v>
      </c>
      <c r="F1200">
        <v>0</v>
      </c>
      <c r="G1200">
        <v>0</v>
      </c>
      <c r="H1200">
        <v>0</v>
      </c>
      <c r="I1200">
        <v>0</v>
      </c>
      <c r="J1200">
        <v>0</v>
      </c>
      <c r="K1200">
        <v>0</v>
      </c>
      <c r="L1200">
        <v>0</v>
      </c>
      <c r="M1200">
        <v>0</v>
      </c>
      <c r="N1200">
        <v>0</v>
      </c>
    </row>
    <row r="1201" spans="1:14" ht="12.75" x14ac:dyDescent="0.2">
      <c r="A1201">
        <v>6952</v>
      </c>
      <c r="B1201" t="s">
        <v>1026</v>
      </c>
      <c r="C1201" t="s">
        <v>387</v>
      </c>
      <c r="D1201">
        <v>0</v>
      </c>
      <c r="E1201">
        <v>0</v>
      </c>
      <c r="F1201">
        <v>0</v>
      </c>
      <c r="G1201">
        <v>0</v>
      </c>
      <c r="H1201">
        <v>0</v>
      </c>
      <c r="I1201">
        <v>0</v>
      </c>
      <c r="J1201">
        <v>0</v>
      </c>
      <c r="K1201">
        <v>0</v>
      </c>
      <c r="L1201">
        <v>0</v>
      </c>
      <c r="M1201">
        <v>0</v>
      </c>
      <c r="N1201">
        <v>0</v>
      </c>
    </row>
    <row r="1202" spans="1:14" ht="12.75" x14ac:dyDescent="0.2">
      <c r="A1202">
        <v>6952</v>
      </c>
      <c r="B1202" s="342" t="s">
        <v>1452</v>
      </c>
      <c r="C1202" t="s">
        <v>357</v>
      </c>
      <c r="D1202">
        <v>0</v>
      </c>
      <c r="E1202">
        <v>0</v>
      </c>
      <c r="F1202">
        <v>0</v>
      </c>
      <c r="G1202">
        <v>0</v>
      </c>
      <c r="H1202">
        <v>0</v>
      </c>
      <c r="I1202">
        <v>0</v>
      </c>
      <c r="J1202">
        <v>0</v>
      </c>
      <c r="K1202">
        <v>0</v>
      </c>
      <c r="L1202">
        <v>0</v>
      </c>
      <c r="M1202">
        <v>0</v>
      </c>
      <c r="N1202">
        <v>0</v>
      </c>
    </row>
    <row r="1203" spans="1:14" ht="12.75" x14ac:dyDescent="0.2">
      <c r="A1203">
        <v>6952</v>
      </c>
      <c r="B1203" s="342" t="s">
        <v>1453</v>
      </c>
      <c r="C1203" t="s">
        <v>320</v>
      </c>
      <c r="D1203">
        <v>0</v>
      </c>
      <c r="E1203">
        <v>0</v>
      </c>
      <c r="F1203">
        <v>0</v>
      </c>
      <c r="G1203">
        <v>0</v>
      </c>
      <c r="H1203">
        <v>0</v>
      </c>
      <c r="I1203">
        <v>0</v>
      </c>
      <c r="J1203">
        <v>0</v>
      </c>
      <c r="K1203">
        <v>0</v>
      </c>
      <c r="L1203">
        <v>0</v>
      </c>
      <c r="M1203">
        <v>0</v>
      </c>
      <c r="N1203">
        <v>0</v>
      </c>
    </row>
    <row r="1204" spans="1:14" ht="12.75" x14ac:dyDescent="0.2">
      <c r="A1204">
        <v>6952</v>
      </c>
      <c r="B1204" s="342" t="s">
        <v>1454</v>
      </c>
      <c r="C1204" t="s">
        <v>427</v>
      </c>
      <c r="D1204">
        <v>0</v>
      </c>
      <c r="E1204">
        <v>0</v>
      </c>
      <c r="F1204">
        <v>0</v>
      </c>
      <c r="G1204">
        <v>0</v>
      </c>
      <c r="H1204">
        <v>0</v>
      </c>
      <c r="I1204">
        <v>0</v>
      </c>
      <c r="J1204">
        <v>0</v>
      </c>
      <c r="K1204">
        <v>0</v>
      </c>
      <c r="L1204">
        <v>0</v>
      </c>
      <c r="M1204">
        <v>0</v>
      </c>
      <c r="N1204">
        <v>0</v>
      </c>
    </row>
    <row r="1205" spans="1:14" ht="12.75" x14ac:dyDescent="0.2">
      <c r="A1205">
        <v>6952</v>
      </c>
      <c r="B1205" s="342" t="s">
        <v>1455</v>
      </c>
      <c r="C1205" t="s">
        <v>337</v>
      </c>
      <c r="D1205">
        <v>0</v>
      </c>
      <c r="E1205">
        <v>0</v>
      </c>
      <c r="F1205">
        <v>0</v>
      </c>
      <c r="G1205">
        <v>0</v>
      </c>
      <c r="H1205">
        <v>0</v>
      </c>
      <c r="I1205">
        <v>0</v>
      </c>
      <c r="J1205">
        <v>0</v>
      </c>
      <c r="K1205">
        <v>0</v>
      </c>
      <c r="L1205">
        <v>0</v>
      </c>
      <c r="M1205">
        <v>0</v>
      </c>
      <c r="N1205">
        <v>0</v>
      </c>
    </row>
    <row r="1206" spans="1:14" ht="12.75" x14ac:dyDescent="0.2">
      <c r="A1206">
        <v>6952</v>
      </c>
      <c r="B1206" s="342" t="s">
        <v>1456</v>
      </c>
      <c r="C1206" t="s">
        <v>382</v>
      </c>
      <c r="D1206">
        <v>0</v>
      </c>
      <c r="E1206">
        <v>0</v>
      </c>
      <c r="F1206">
        <v>0</v>
      </c>
      <c r="G1206">
        <v>0</v>
      </c>
      <c r="H1206">
        <v>0</v>
      </c>
      <c r="I1206">
        <v>0</v>
      </c>
      <c r="J1206">
        <v>0</v>
      </c>
      <c r="K1206">
        <v>0</v>
      </c>
      <c r="L1206">
        <v>0</v>
      </c>
      <c r="M1206">
        <v>0</v>
      </c>
      <c r="N1206">
        <v>0</v>
      </c>
    </row>
    <row r="1207" spans="1:14" ht="12.75" x14ac:dyDescent="0.2">
      <c r="A1207">
        <v>6952</v>
      </c>
      <c r="B1207" s="342" t="s">
        <v>1457</v>
      </c>
      <c r="C1207" t="s">
        <v>384</v>
      </c>
      <c r="D1207">
        <v>0</v>
      </c>
      <c r="E1207">
        <v>0</v>
      </c>
      <c r="F1207">
        <v>0</v>
      </c>
      <c r="G1207">
        <v>0</v>
      </c>
      <c r="H1207">
        <v>0</v>
      </c>
      <c r="I1207">
        <v>0</v>
      </c>
      <c r="J1207">
        <v>0</v>
      </c>
      <c r="K1207">
        <v>0</v>
      </c>
      <c r="L1207">
        <v>0</v>
      </c>
      <c r="M1207">
        <v>0</v>
      </c>
      <c r="N1207">
        <v>0</v>
      </c>
    </row>
    <row r="1208" spans="1:14" ht="12.75" x14ac:dyDescent="0.2">
      <c r="A1208">
        <v>6952</v>
      </c>
      <c r="B1208" s="342" t="s">
        <v>1458</v>
      </c>
      <c r="C1208" t="s">
        <v>313</v>
      </c>
      <c r="D1208">
        <v>0</v>
      </c>
      <c r="E1208">
        <v>0</v>
      </c>
      <c r="F1208">
        <v>0</v>
      </c>
      <c r="G1208">
        <v>0</v>
      </c>
      <c r="H1208">
        <v>0</v>
      </c>
      <c r="I1208">
        <v>0</v>
      </c>
      <c r="J1208">
        <v>0</v>
      </c>
      <c r="K1208">
        <v>0</v>
      </c>
      <c r="L1208">
        <v>0</v>
      </c>
      <c r="M1208">
        <v>0</v>
      </c>
      <c r="N1208">
        <v>0</v>
      </c>
    </row>
    <row r="1209" spans="1:14" ht="12.75" x14ac:dyDescent="0.2">
      <c r="A1209">
        <v>6952</v>
      </c>
      <c r="B1209" s="342" t="s">
        <v>1459</v>
      </c>
      <c r="C1209" t="s">
        <v>619</v>
      </c>
      <c r="D1209">
        <v>0</v>
      </c>
      <c r="E1209">
        <v>0</v>
      </c>
      <c r="F1209">
        <v>0</v>
      </c>
      <c r="G1209">
        <v>0</v>
      </c>
      <c r="H1209">
        <v>0</v>
      </c>
      <c r="I1209">
        <v>0</v>
      </c>
      <c r="J1209">
        <v>0</v>
      </c>
      <c r="K1209">
        <v>0</v>
      </c>
      <c r="L1209">
        <v>0</v>
      </c>
      <c r="M1209">
        <v>0</v>
      </c>
      <c r="N1209">
        <v>0</v>
      </c>
    </row>
    <row r="1210" spans="1:14" ht="12.75" x14ac:dyDescent="0.2">
      <c r="A1210">
        <v>6952</v>
      </c>
      <c r="B1210" s="342" t="s">
        <v>1460</v>
      </c>
      <c r="C1210" t="s">
        <v>371</v>
      </c>
      <c r="D1210">
        <v>0</v>
      </c>
      <c r="E1210">
        <v>0</v>
      </c>
      <c r="F1210">
        <v>0</v>
      </c>
      <c r="G1210">
        <v>0</v>
      </c>
      <c r="H1210">
        <v>0</v>
      </c>
      <c r="I1210">
        <v>0</v>
      </c>
      <c r="J1210">
        <v>0</v>
      </c>
      <c r="K1210">
        <v>0</v>
      </c>
      <c r="L1210">
        <v>0</v>
      </c>
      <c r="M1210">
        <v>0</v>
      </c>
      <c r="N1210">
        <v>0</v>
      </c>
    </row>
    <row r="1211" spans="1:14" ht="12.75" x14ac:dyDescent="0.2">
      <c r="A1211">
        <v>6952</v>
      </c>
      <c r="B1211" t="s">
        <v>1461</v>
      </c>
      <c r="C1211" t="s">
        <v>840</v>
      </c>
      <c r="D1211">
        <v>0</v>
      </c>
      <c r="E1211">
        <v>0</v>
      </c>
      <c r="F1211">
        <v>0</v>
      </c>
      <c r="G1211">
        <v>0</v>
      </c>
      <c r="H1211">
        <v>0</v>
      </c>
      <c r="I1211">
        <v>0</v>
      </c>
      <c r="J1211">
        <v>0</v>
      </c>
      <c r="K1211">
        <v>0</v>
      </c>
      <c r="L1211">
        <v>0</v>
      </c>
      <c r="M1211">
        <v>0</v>
      </c>
      <c r="N1211">
        <v>0</v>
      </c>
    </row>
    <row r="1212" spans="1:14" ht="12.75" x14ac:dyDescent="0.2">
      <c r="A1212">
        <v>6952</v>
      </c>
      <c r="B1212" t="s">
        <v>1462</v>
      </c>
      <c r="C1212" t="s">
        <v>840</v>
      </c>
      <c r="D1212">
        <v>0</v>
      </c>
      <c r="E1212">
        <v>0</v>
      </c>
      <c r="F1212">
        <v>0</v>
      </c>
      <c r="G1212">
        <v>0</v>
      </c>
      <c r="H1212">
        <v>0</v>
      </c>
      <c r="I1212">
        <v>0</v>
      </c>
      <c r="J1212">
        <v>0</v>
      </c>
      <c r="K1212">
        <v>0</v>
      </c>
      <c r="L1212">
        <v>0</v>
      </c>
      <c r="M1212">
        <v>0</v>
      </c>
      <c r="N1212">
        <v>0</v>
      </c>
    </row>
    <row r="1213" spans="1:14" ht="12.75" x14ac:dyDescent="0.2">
      <c r="A1213">
        <v>6952</v>
      </c>
      <c r="B1213" s="342" t="s">
        <v>1463</v>
      </c>
      <c r="C1213" t="s">
        <v>1464</v>
      </c>
      <c r="D1213">
        <v>0</v>
      </c>
      <c r="E1213">
        <v>0</v>
      </c>
      <c r="F1213">
        <v>0</v>
      </c>
      <c r="G1213">
        <v>0</v>
      </c>
      <c r="H1213">
        <v>0</v>
      </c>
      <c r="I1213">
        <v>0</v>
      </c>
      <c r="J1213">
        <v>0</v>
      </c>
      <c r="K1213">
        <v>0</v>
      </c>
      <c r="L1213">
        <v>0</v>
      </c>
      <c r="M1213">
        <v>0</v>
      </c>
      <c r="N1213">
        <v>0</v>
      </c>
    </row>
    <row r="1214" spans="1:14" ht="12.75" x14ac:dyDescent="0.2">
      <c r="A1214">
        <v>6952</v>
      </c>
      <c r="B1214" s="342" t="s">
        <v>1465</v>
      </c>
      <c r="C1214" t="s">
        <v>337</v>
      </c>
      <c r="D1214">
        <v>0</v>
      </c>
      <c r="E1214">
        <v>0</v>
      </c>
      <c r="F1214">
        <v>0</v>
      </c>
      <c r="G1214">
        <v>0</v>
      </c>
      <c r="H1214">
        <v>0</v>
      </c>
      <c r="I1214">
        <v>0</v>
      </c>
      <c r="J1214">
        <v>0</v>
      </c>
      <c r="K1214">
        <v>0</v>
      </c>
      <c r="L1214">
        <v>0</v>
      </c>
      <c r="M1214">
        <v>0</v>
      </c>
      <c r="N1214">
        <v>0</v>
      </c>
    </row>
    <row r="1215" spans="1:14" ht="12.75" x14ac:dyDescent="0.2">
      <c r="A1215">
        <v>6952</v>
      </c>
      <c r="B1215" s="342" t="s">
        <v>1466</v>
      </c>
      <c r="C1215" t="s">
        <v>382</v>
      </c>
      <c r="D1215">
        <v>0</v>
      </c>
      <c r="E1215">
        <v>0</v>
      </c>
      <c r="F1215">
        <v>0</v>
      </c>
      <c r="G1215">
        <v>0</v>
      </c>
      <c r="H1215">
        <v>0</v>
      </c>
      <c r="I1215">
        <v>0</v>
      </c>
      <c r="J1215">
        <v>0</v>
      </c>
      <c r="K1215">
        <v>0</v>
      </c>
      <c r="L1215">
        <v>0</v>
      </c>
      <c r="M1215">
        <v>0</v>
      </c>
      <c r="N1215">
        <v>0</v>
      </c>
    </row>
    <row r="1216" spans="1:14" ht="12.75" x14ac:dyDescent="0.2">
      <c r="A1216">
        <v>6952</v>
      </c>
      <c r="B1216" t="s">
        <v>1467</v>
      </c>
      <c r="C1216" t="s">
        <v>840</v>
      </c>
      <c r="D1216">
        <v>0</v>
      </c>
      <c r="E1216">
        <v>0</v>
      </c>
      <c r="F1216">
        <v>0</v>
      </c>
      <c r="G1216">
        <v>0</v>
      </c>
      <c r="H1216">
        <v>0</v>
      </c>
      <c r="I1216">
        <v>0</v>
      </c>
      <c r="J1216">
        <v>0</v>
      </c>
      <c r="K1216">
        <v>0</v>
      </c>
      <c r="L1216">
        <v>0</v>
      </c>
      <c r="M1216">
        <v>0</v>
      </c>
      <c r="N1216">
        <v>0</v>
      </c>
    </row>
    <row r="1217" spans="1:14" ht="12.75" x14ac:dyDescent="0.2">
      <c r="A1217">
        <v>6952</v>
      </c>
      <c r="B1217" t="s">
        <v>1468</v>
      </c>
      <c r="C1217" t="s">
        <v>313</v>
      </c>
      <c r="D1217">
        <v>0</v>
      </c>
      <c r="E1217">
        <v>0</v>
      </c>
      <c r="F1217">
        <v>0</v>
      </c>
      <c r="G1217">
        <v>0</v>
      </c>
      <c r="H1217">
        <v>0</v>
      </c>
      <c r="I1217">
        <v>0</v>
      </c>
      <c r="J1217">
        <v>0</v>
      </c>
      <c r="K1217">
        <v>0</v>
      </c>
      <c r="L1217">
        <v>0</v>
      </c>
      <c r="M1217">
        <v>0</v>
      </c>
      <c r="N1217">
        <v>0</v>
      </c>
    </row>
    <row r="1218" spans="1:14" ht="12.75" x14ac:dyDescent="0.2">
      <c r="A1218">
        <v>6952</v>
      </c>
      <c r="B1218" t="s">
        <v>973</v>
      </c>
      <c r="C1218" t="s">
        <v>974</v>
      </c>
      <c r="D1218">
        <v>0</v>
      </c>
      <c r="E1218">
        <v>0</v>
      </c>
      <c r="F1218">
        <v>0</v>
      </c>
      <c r="G1218">
        <v>0</v>
      </c>
      <c r="H1218">
        <v>0</v>
      </c>
      <c r="I1218">
        <v>0</v>
      </c>
      <c r="J1218">
        <v>0</v>
      </c>
      <c r="K1218">
        <v>0</v>
      </c>
      <c r="L1218">
        <v>0</v>
      </c>
      <c r="M1218">
        <v>0</v>
      </c>
      <c r="N1218">
        <v>0</v>
      </c>
    </row>
    <row r="1219" spans="1:14" ht="12.75" x14ac:dyDescent="0.2">
      <c r="A1219">
        <v>6952</v>
      </c>
      <c r="B1219" s="343" t="s">
        <v>1027</v>
      </c>
      <c r="C1219" t="s">
        <v>601</v>
      </c>
      <c r="D1219">
        <v>0</v>
      </c>
      <c r="E1219">
        <v>-580583.67000000004</v>
      </c>
      <c r="F1219">
        <v>0</v>
      </c>
      <c r="G1219">
        <v>-580583.67000000004</v>
      </c>
      <c r="H1219">
        <v>-580583.67000000004</v>
      </c>
      <c r="I1219">
        <v>0</v>
      </c>
      <c r="J1219">
        <v>0</v>
      </c>
      <c r="K1219">
        <v>0</v>
      </c>
      <c r="L1219">
        <v>0</v>
      </c>
      <c r="M1219">
        <v>0</v>
      </c>
      <c r="N1219">
        <v>0</v>
      </c>
    </row>
    <row r="1220" spans="1:14" ht="12.75" x14ac:dyDescent="0.2">
      <c r="A1220">
        <v>6952</v>
      </c>
      <c r="B1220" s="343" t="s">
        <v>1028</v>
      </c>
      <c r="C1220" t="s">
        <v>602</v>
      </c>
      <c r="D1220">
        <v>0</v>
      </c>
      <c r="E1220">
        <v>580583.67000000004</v>
      </c>
      <c r="F1220">
        <v>0</v>
      </c>
      <c r="G1220">
        <v>580583.67000000004</v>
      </c>
      <c r="H1220">
        <v>580583.67000000004</v>
      </c>
      <c r="I1220">
        <v>0</v>
      </c>
      <c r="J1220">
        <v>0</v>
      </c>
      <c r="K1220">
        <v>0</v>
      </c>
      <c r="L1220">
        <v>0</v>
      </c>
      <c r="M1220">
        <v>0</v>
      </c>
      <c r="N1220">
        <v>0</v>
      </c>
    </row>
    <row r="1221" spans="1:14" ht="12.75" x14ac:dyDescent="0.2">
      <c r="A1221">
        <v>6952</v>
      </c>
      <c r="B1221" t="s">
        <v>1496</v>
      </c>
      <c r="C1221" t="s">
        <v>603</v>
      </c>
      <c r="D1221">
        <v>0</v>
      </c>
      <c r="E1221">
        <v>0</v>
      </c>
      <c r="F1221">
        <v>0</v>
      </c>
      <c r="G1221">
        <v>0</v>
      </c>
      <c r="H1221">
        <v>0</v>
      </c>
      <c r="I1221">
        <v>0</v>
      </c>
      <c r="J1221">
        <v>0</v>
      </c>
      <c r="K1221">
        <v>0</v>
      </c>
      <c r="L1221">
        <v>0</v>
      </c>
      <c r="M1221">
        <v>0</v>
      </c>
      <c r="N1221">
        <v>0</v>
      </c>
    </row>
    <row r="1222" spans="1:14" ht="12.75" x14ac:dyDescent="0.2">
      <c r="A1222">
        <v>6952</v>
      </c>
      <c r="B1222" t="s">
        <v>1497</v>
      </c>
      <c r="C1222" t="s">
        <v>604</v>
      </c>
      <c r="D1222">
        <v>0</v>
      </c>
      <c r="E1222">
        <v>0</v>
      </c>
      <c r="F1222">
        <v>0</v>
      </c>
      <c r="G1222">
        <v>0</v>
      </c>
      <c r="H1222">
        <v>0</v>
      </c>
      <c r="I1222">
        <v>0</v>
      </c>
      <c r="J1222">
        <v>0</v>
      </c>
      <c r="K1222">
        <v>0</v>
      </c>
      <c r="L1222">
        <v>0</v>
      </c>
      <c r="M1222">
        <v>0</v>
      </c>
      <c r="N1222">
        <v>0</v>
      </c>
    </row>
    <row r="1223" spans="1:14" ht="12.75" x14ac:dyDescent="0.2">
      <c r="A1223">
        <v>6952</v>
      </c>
      <c r="B1223" t="s">
        <v>1498</v>
      </c>
      <c r="C1223" t="s">
        <v>908</v>
      </c>
      <c r="D1223">
        <v>0</v>
      </c>
      <c r="E1223">
        <v>0</v>
      </c>
      <c r="F1223">
        <v>0</v>
      </c>
      <c r="G1223">
        <v>0</v>
      </c>
      <c r="H1223">
        <v>0</v>
      </c>
      <c r="I1223">
        <v>0</v>
      </c>
      <c r="J1223">
        <v>0</v>
      </c>
      <c r="K1223">
        <v>0</v>
      </c>
      <c r="L1223">
        <v>0</v>
      </c>
      <c r="M1223">
        <v>0</v>
      </c>
      <c r="N1223">
        <v>0</v>
      </c>
    </row>
    <row r="1224" spans="1:14" ht="12.75" x14ac:dyDescent="0.2">
      <c r="A1224">
        <v>6952</v>
      </c>
      <c r="B1224" t="s">
        <v>1499</v>
      </c>
      <c r="C1224" t="s">
        <v>908</v>
      </c>
      <c r="D1224">
        <v>0</v>
      </c>
      <c r="E1224">
        <v>0</v>
      </c>
      <c r="F1224">
        <v>0</v>
      </c>
      <c r="G1224">
        <v>0</v>
      </c>
      <c r="H1224">
        <v>0</v>
      </c>
      <c r="I1224">
        <v>0</v>
      </c>
      <c r="J1224">
        <v>0</v>
      </c>
      <c r="K1224">
        <v>0</v>
      </c>
      <c r="L1224">
        <v>0</v>
      </c>
      <c r="M1224">
        <v>0</v>
      </c>
      <c r="N1224">
        <v>0</v>
      </c>
    </row>
  </sheetData>
  <phoneticPr fontId="5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L503"/>
  <sheetViews>
    <sheetView tabSelected="1" view="pageBreakPreview" zoomScaleNormal="100" zoomScaleSheetLayoutView="100" workbookViewId="0">
      <selection activeCell="C20" sqref="C20"/>
    </sheetView>
  </sheetViews>
  <sheetFormatPr defaultColWidth="9.140625" defaultRowHeight="12.75" x14ac:dyDescent="0.2"/>
  <cols>
    <col min="1" max="1" width="23.5703125" style="52" customWidth="1"/>
    <col min="2" max="2" width="21.5703125" style="52" customWidth="1"/>
    <col min="3" max="3" width="29.42578125" style="52" customWidth="1"/>
    <col min="4" max="4" width="29.140625" style="52" customWidth="1"/>
    <col min="5" max="5" width="16.42578125" style="52" customWidth="1"/>
    <col min="6" max="16384" width="9.140625" style="52"/>
  </cols>
  <sheetData>
    <row r="1" spans="1:7" x14ac:dyDescent="0.2">
      <c r="A1" s="55"/>
      <c r="B1" s="55"/>
      <c r="C1" s="55"/>
      <c r="D1" s="55"/>
      <c r="E1" s="55"/>
      <c r="F1" s="55"/>
      <c r="G1" s="55"/>
    </row>
    <row r="2" spans="1:7" ht="27" thickBot="1" x14ac:dyDescent="0.25">
      <c r="A2" s="493" t="str">
        <f>+Data!B6</f>
        <v>Blind and Low Vision Education Network NZ</v>
      </c>
      <c r="B2" s="493"/>
      <c r="C2" s="493"/>
      <c r="D2" s="493"/>
      <c r="E2" s="493"/>
      <c r="F2" s="55"/>
      <c r="G2" s="55"/>
    </row>
    <row r="3" spans="1:7" ht="24" customHeight="1" x14ac:dyDescent="0.2">
      <c r="E3" s="268"/>
      <c r="F3" s="216"/>
      <c r="G3" s="216"/>
    </row>
    <row r="4" spans="1:7" ht="20.25" x14ac:dyDescent="0.2">
      <c r="A4" s="497" t="s">
        <v>1756</v>
      </c>
      <c r="B4" s="497"/>
      <c r="C4" s="497"/>
      <c r="D4" s="497"/>
      <c r="E4" s="497"/>
      <c r="F4" s="55"/>
      <c r="G4" s="55"/>
    </row>
    <row r="5" spans="1:7" x14ac:dyDescent="0.2">
      <c r="A5" s="55"/>
      <c r="B5" s="55"/>
      <c r="C5" s="55"/>
      <c r="D5" s="55"/>
      <c r="E5" s="55"/>
      <c r="F5" s="55"/>
      <c r="G5" s="55"/>
    </row>
    <row r="6" spans="1:7" x14ac:dyDescent="0.2">
      <c r="A6" s="55"/>
      <c r="B6" s="55"/>
      <c r="C6" s="55"/>
      <c r="D6" s="55"/>
      <c r="E6" s="55"/>
      <c r="F6" s="55"/>
      <c r="G6" s="55"/>
    </row>
    <row r="7" spans="1:7" ht="15.75" x14ac:dyDescent="0.25">
      <c r="A7" s="383" t="s">
        <v>1070</v>
      </c>
      <c r="B7" s="384"/>
      <c r="C7" s="384"/>
      <c r="D7" s="384"/>
      <c r="E7" s="384"/>
      <c r="F7" s="384"/>
      <c r="G7" s="55"/>
    </row>
    <row r="8" spans="1:7" ht="15" x14ac:dyDescent="0.2">
      <c r="A8" s="384"/>
      <c r="B8" s="384"/>
      <c r="C8" s="384"/>
      <c r="D8" s="384"/>
      <c r="E8" s="384"/>
      <c r="F8" s="384"/>
      <c r="G8" s="55"/>
    </row>
    <row r="9" spans="1:7" ht="15.75" x14ac:dyDescent="0.25">
      <c r="A9" s="385" t="s">
        <v>1757</v>
      </c>
      <c r="B9" s="384"/>
      <c r="C9" s="386">
        <v>4156</v>
      </c>
      <c r="D9" s="384"/>
      <c r="E9" s="384"/>
      <c r="F9" s="384"/>
      <c r="G9" s="55"/>
    </row>
    <row r="10" spans="1:7" ht="15.75" x14ac:dyDescent="0.25">
      <c r="A10" s="387"/>
      <c r="B10" s="384"/>
      <c r="C10" s="384"/>
      <c r="D10" s="384"/>
      <c r="E10" s="384"/>
      <c r="F10" s="384"/>
      <c r="G10" s="55"/>
    </row>
    <row r="11" spans="1:7" ht="15.75" x14ac:dyDescent="0.25">
      <c r="A11" s="387" t="s">
        <v>1071</v>
      </c>
      <c r="B11" s="384"/>
      <c r="C11" s="384" t="s">
        <v>1078</v>
      </c>
      <c r="D11" s="384"/>
      <c r="E11" s="384"/>
      <c r="F11" s="384"/>
      <c r="G11" s="55"/>
    </row>
    <row r="12" spans="1:7" ht="15.75" x14ac:dyDescent="0.25">
      <c r="A12" s="387"/>
      <c r="B12" s="384"/>
      <c r="C12" s="384"/>
      <c r="D12" s="384"/>
      <c r="E12" s="384"/>
      <c r="F12" s="384"/>
      <c r="G12" s="55"/>
    </row>
    <row r="13" spans="1:7" ht="15.75" x14ac:dyDescent="0.25">
      <c r="A13" s="385" t="s">
        <v>780</v>
      </c>
      <c r="B13" s="384"/>
      <c r="C13" s="384" t="s">
        <v>950</v>
      </c>
      <c r="D13" s="384"/>
      <c r="E13" s="384"/>
      <c r="F13" s="384"/>
      <c r="G13" s="55"/>
    </row>
    <row r="14" spans="1:7" ht="15" x14ac:dyDescent="0.2">
      <c r="A14" s="388"/>
      <c r="B14" s="384"/>
      <c r="C14" s="384"/>
      <c r="D14" s="384"/>
      <c r="E14" s="384"/>
      <c r="F14" s="384"/>
      <c r="G14" s="55"/>
    </row>
    <row r="15" spans="1:7" ht="15.75" x14ac:dyDescent="0.25">
      <c r="A15" s="385" t="s">
        <v>1072</v>
      </c>
      <c r="B15" s="384"/>
      <c r="C15" s="384" t="s">
        <v>1075</v>
      </c>
      <c r="D15" s="384"/>
      <c r="E15" s="384"/>
      <c r="F15" s="384"/>
      <c r="G15" s="55"/>
    </row>
    <row r="16" spans="1:7" ht="15" x14ac:dyDescent="0.2">
      <c r="A16" s="388"/>
      <c r="B16" s="384"/>
      <c r="C16" s="384"/>
      <c r="D16" s="384"/>
      <c r="E16" s="384"/>
      <c r="F16" s="384"/>
      <c r="G16" s="55"/>
    </row>
    <row r="17" spans="1:7" ht="15.75" x14ac:dyDescent="0.25">
      <c r="A17" s="387" t="s">
        <v>1073</v>
      </c>
      <c r="B17" s="384"/>
      <c r="C17" s="496" t="s">
        <v>682</v>
      </c>
      <c r="D17" s="495"/>
      <c r="E17" s="384"/>
      <c r="F17" s="384"/>
      <c r="G17" s="55"/>
    </row>
    <row r="18" spans="1:7" ht="15.75" x14ac:dyDescent="0.25">
      <c r="A18" s="387"/>
      <c r="B18" s="384"/>
      <c r="C18" s="384"/>
      <c r="D18" s="384"/>
      <c r="E18" s="384"/>
      <c r="F18" s="384"/>
      <c r="G18" s="55"/>
    </row>
    <row r="19" spans="1:7" ht="15.75" x14ac:dyDescent="0.25">
      <c r="A19" s="387" t="s">
        <v>1074</v>
      </c>
      <c r="B19" s="384"/>
      <c r="C19" s="494" t="s">
        <v>444</v>
      </c>
      <c r="D19" s="495"/>
      <c r="E19" s="495"/>
      <c r="F19" s="495"/>
      <c r="G19" s="55"/>
    </row>
    <row r="20" spans="1:7" ht="30" x14ac:dyDescent="0.4">
      <c r="A20" s="390"/>
      <c r="B20" s="390"/>
      <c r="C20" s="390"/>
      <c r="D20" s="390"/>
      <c r="E20" s="390"/>
      <c r="F20" s="390"/>
      <c r="G20" s="65"/>
    </row>
    <row r="21" spans="1:7" ht="20.25" x14ac:dyDescent="0.3">
      <c r="A21" s="403" t="s">
        <v>1507</v>
      </c>
      <c r="B21" s="391"/>
      <c r="C21" s="392"/>
      <c r="D21" s="392"/>
      <c r="E21" s="392"/>
      <c r="F21" s="392"/>
      <c r="G21" s="55"/>
    </row>
    <row r="22" spans="1:7" ht="15" customHeight="1" x14ac:dyDescent="0.2">
      <c r="A22" s="384"/>
      <c r="B22" s="384"/>
      <c r="C22" s="384"/>
      <c r="D22" s="384"/>
      <c r="E22" s="384"/>
      <c r="F22" s="384"/>
      <c r="G22" s="57"/>
    </row>
    <row r="23" spans="1:7" ht="36.75" customHeight="1" x14ac:dyDescent="0.25">
      <c r="A23" s="393" t="s">
        <v>784</v>
      </c>
      <c r="B23" s="393" t="s">
        <v>1076</v>
      </c>
      <c r="C23" s="393" t="s">
        <v>1077</v>
      </c>
      <c r="D23" s="394" t="s">
        <v>1508</v>
      </c>
      <c r="E23" s="384"/>
      <c r="F23" s="393"/>
      <c r="G23" s="57"/>
    </row>
    <row r="24" spans="1:7" ht="15" customHeight="1" x14ac:dyDescent="0.25">
      <c r="A24" s="386" t="s">
        <v>1080</v>
      </c>
      <c r="B24" s="386" t="s">
        <v>1509</v>
      </c>
      <c r="C24" s="384" t="s">
        <v>1085</v>
      </c>
      <c r="D24" s="395">
        <v>45901</v>
      </c>
      <c r="E24" s="384"/>
      <c r="F24" s="396"/>
      <c r="G24" s="56"/>
    </row>
    <row r="25" spans="1:7" ht="15" customHeight="1" x14ac:dyDescent="0.25">
      <c r="A25" s="386" t="s">
        <v>1078</v>
      </c>
      <c r="B25" s="386" t="s">
        <v>1082</v>
      </c>
      <c r="C25" s="384" t="s">
        <v>1084</v>
      </c>
      <c r="D25" s="395"/>
      <c r="E25" s="384"/>
      <c r="F25" s="396"/>
      <c r="G25" s="56"/>
    </row>
    <row r="26" spans="1:7" ht="15" customHeight="1" x14ac:dyDescent="0.25">
      <c r="A26" s="386" t="s">
        <v>1091</v>
      </c>
      <c r="B26" s="386" t="s">
        <v>1577</v>
      </c>
      <c r="C26" s="384" t="s">
        <v>1085</v>
      </c>
      <c r="D26" s="395">
        <v>45261</v>
      </c>
      <c r="E26" s="384"/>
      <c r="F26" s="396"/>
      <c r="G26" s="56"/>
    </row>
    <row r="27" spans="1:7" ht="15" x14ac:dyDescent="0.2">
      <c r="A27" s="386" t="s">
        <v>1524</v>
      </c>
      <c r="B27" s="386" t="s">
        <v>983</v>
      </c>
      <c r="C27" s="384" t="s">
        <v>1578</v>
      </c>
      <c r="D27" s="395">
        <v>45261</v>
      </c>
      <c r="E27" s="384"/>
      <c r="F27" s="384"/>
    </row>
    <row r="28" spans="1:7" ht="15" customHeight="1" x14ac:dyDescent="0.2">
      <c r="A28" s="386" t="s">
        <v>1081</v>
      </c>
      <c r="B28" s="397" t="s">
        <v>983</v>
      </c>
      <c r="C28" s="398" t="s">
        <v>1084</v>
      </c>
      <c r="D28" s="399">
        <v>45901</v>
      </c>
      <c r="E28" s="384"/>
      <c r="F28" s="400"/>
      <c r="G28" s="58"/>
    </row>
    <row r="29" spans="1:7" ht="14.25" customHeight="1" x14ac:dyDescent="0.2">
      <c r="A29" s="386" t="s">
        <v>1544</v>
      </c>
      <c r="B29" s="386" t="s">
        <v>983</v>
      </c>
      <c r="C29" s="384" t="s">
        <v>1084</v>
      </c>
      <c r="D29" s="395">
        <v>45261</v>
      </c>
      <c r="E29" s="386"/>
      <c r="F29" s="384"/>
    </row>
    <row r="30" spans="1:7" ht="15" x14ac:dyDescent="0.2">
      <c r="A30" s="384" t="s">
        <v>1579</v>
      </c>
      <c r="B30" s="386" t="s">
        <v>983</v>
      </c>
      <c r="C30" s="384" t="s">
        <v>1084</v>
      </c>
      <c r="D30" s="395">
        <v>45261</v>
      </c>
      <c r="E30" s="386"/>
      <c r="F30" s="384"/>
    </row>
    <row r="31" spans="1:7" ht="15" customHeight="1" x14ac:dyDescent="0.25">
      <c r="A31" s="386" t="s">
        <v>1079</v>
      </c>
      <c r="B31" s="386" t="s">
        <v>1577</v>
      </c>
      <c r="C31" s="384" t="s">
        <v>1085</v>
      </c>
      <c r="D31" s="401">
        <v>45901</v>
      </c>
      <c r="E31" s="384"/>
      <c r="F31" s="402"/>
      <c r="G31" s="57"/>
    </row>
    <row r="32" spans="1:7" ht="15" x14ac:dyDescent="0.2">
      <c r="A32" s="386" t="s">
        <v>1715</v>
      </c>
      <c r="B32" s="386" t="s">
        <v>1083</v>
      </c>
      <c r="C32" s="384" t="s">
        <v>1085</v>
      </c>
      <c r="D32" s="395">
        <v>45901</v>
      </c>
      <c r="E32" s="386"/>
      <c r="F32" s="384"/>
    </row>
    <row r="33" spans="1:7" ht="15" customHeight="1" x14ac:dyDescent="0.25">
      <c r="A33" s="386" t="s">
        <v>1716</v>
      </c>
      <c r="B33" s="386" t="s">
        <v>983</v>
      </c>
      <c r="C33" s="384" t="s">
        <v>1578</v>
      </c>
      <c r="D33" s="395">
        <v>45901</v>
      </c>
      <c r="E33" s="384"/>
      <c r="F33" s="396"/>
      <c r="G33" s="56"/>
    </row>
    <row r="34" spans="1:7" ht="15" customHeight="1" x14ac:dyDescent="0.2">
      <c r="A34" s="386"/>
      <c r="B34" s="386"/>
      <c r="C34" s="384"/>
      <c r="D34" s="401"/>
      <c r="E34" s="384"/>
      <c r="F34" s="384"/>
    </row>
    <row r="35" spans="1:7" ht="15" x14ac:dyDescent="0.2">
      <c r="A35" s="384"/>
      <c r="B35" s="386"/>
      <c r="C35" s="384"/>
      <c r="D35" s="401"/>
      <c r="E35" s="384"/>
      <c r="F35" s="384"/>
    </row>
    <row r="36" spans="1:7" ht="15" x14ac:dyDescent="0.2">
      <c r="A36" s="384"/>
      <c r="B36" s="384"/>
      <c r="C36" s="384"/>
      <c r="D36" s="384"/>
      <c r="E36" s="384"/>
      <c r="F36" s="384"/>
    </row>
    <row r="37" spans="1:7" ht="15" x14ac:dyDescent="0.2">
      <c r="A37" s="384"/>
      <c r="B37" s="384"/>
      <c r="C37" s="384"/>
      <c r="D37" s="384"/>
      <c r="E37" s="384"/>
      <c r="F37" s="384"/>
    </row>
    <row r="59" spans="12:12" x14ac:dyDescent="0.2">
      <c r="L59" s="52" t="s">
        <v>1471</v>
      </c>
    </row>
    <row r="224" spans="2:7" x14ac:dyDescent="0.2">
      <c r="B224" s="52">
        <f>3606052-128340</f>
        <v>3477712</v>
      </c>
      <c r="D224" s="52">
        <v>1111566</v>
      </c>
      <c r="E224" s="52">
        <f>4491558-1041525-128340</f>
        <v>3321693</v>
      </c>
      <c r="G224" s="52">
        <f>2340865-1041525-128340</f>
        <v>1171000</v>
      </c>
    </row>
    <row r="228" spans="2:5" x14ac:dyDescent="0.2">
      <c r="B228" s="52">
        <v>4917232</v>
      </c>
      <c r="D228" s="52">
        <f>B228</f>
        <v>4917232</v>
      </c>
      <c r="E228" s="52">
        <f>1041525+128340</f>
        <v>1169865</v>
      </c>
    </row>
    <row r="434" spans="1:1" x14ac:dyDescent="0.2">
      <c r="A434" s="52" t="s">
        <v>1543</v>
      </c>
    </row>
    <row r="502" ht="19.5" customHeight="1" x14ac:dyDescent="0.2"/>
    <row r="503" ht="270.75" customHeight="1" x14ac:dyDescent="0.2"/>
  </sheetData>
  <mergeCells count="4">
    <mergeCell ref="A2:E2"/>
    <mergeCell ref="C19:F19"/>
    <mergeCell ref="C17:D17"/>
    <mergeCell ref="A4:E4"/>
  </mergeCells>
  <phoneticPr fontId="50" type="noConversion"/>
  <hyperlinks>
    <hyperlink ref="C19" r:id="rId1" xr:uid="{00000000-0004-0000-0100-000000000000}"/>
  </hyperlinks>
  <pageMargins left="0.39370078740157483" right="0.39370078740157483" top="0.74803149606299213" bottom="0.74803149606299213" header="0.31496062992125984" footer="0.31496062992125984"/>
  <pageSetup paperSize="9" scale="89" orientation="portrait" cellComments="asDisplayed" r:id="rId2"/>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3:Z506"/>
  <sheetViews>
    <sheetView view="pageBreakPreview" zoomScale="90" zoomScaleNormal="100" zoomScaleSheetLayoutView="90" workbookViewId="0">
      <selection activeCell="C41" sqref="C41:J41"/>
    </sheetView>
  </sheetViews>
  <sheetFormatPr defaultColWidth="9.140625" defaultRowHeight="12.75" x14ac:dyDescent="0.2"/>
  <cols>
    <col min="1" max="1" width="10.42578125" style="61" customWidth="1"/>
    <col min="2" max="2" width="16.28515625" style="61" customWidth="1"/>
    <col min="3" max="9" width="9.140625" style="61"/>
    <col min="10" max="10" width="11" style="61" customWidth="1"/>
    <col min="11" max="16384" width="9.140625" style="61"/>
  </cols>
  <sheetData>
    <row r="3" spans="1:26" ht="12.75" customHeight="1" x14ac:dyDescent="0.2">
      <c r="A3" s="498" t="str">
        <f>+Header!A2</f>
        <v>Blind and Low Vision Education Network NZ</v>
      </c>
      <c r="B3" s="498"/>
      <c r="C3" s="498"/>
      <c r="D3" s="498"/>
      <c r="E3" s="498"/>
      <c r="F3" s="498"/>
      <c r="G3" s="498"/>
      <c r="H3" s="498"/>
      <c r="I3" s="498"/>
      <c r="J3" s="498"/>
    </row>
    <row r="4" spans="1:26" ht="12.75" customHeight="1" x14ac:dyDescent="0.2">
      <c r="A4" s="498"/>
      <c r="B4" s="498"/>
      <c r="C4" s="498"/>
      <c r="D4" s="498"/>
      <c r="E4" s="498"/>
      <c r="F4" s="498"/>
      <c r="G4" s="498"/>
      <c r="H4" s="498"/>
      <c r="I4" s="498"/>
      <c r="J4" s="498"/>
    </row>
    <row r="5" spans="1:26" ht="12.75" customHeight="1" x14ac:dyDescent="0.2">
      <c r="A5" s="498"/>
      <c r="B5" s="498"/>
      <c r="C5" s="498"/>
      <c r="D5" s="498"/>
      <c r="E5" s="498"/>
      <c r="F5" s="498"/>
      <c r="G5" s="498"/>
      <c r="H5" s="498"/>
      <c r="I5" s="498"/>
      <c r="J5" s="498"/>
    </row>
    <row r="8" spans="1:26" ht="20.25" x14ac:dyDescent="0.2">
      <c r="A8" s="499" t="s">
        <v>1704</v>
      </c>
      <c r="B8" s="499"/>
      <c r="C8" s="499"/>
      <c r="D8" s="499"/>
      <c r="E8" s="499"/>
      <c r="F8" s="499"/>
      <c r="G8" s="499"/>
      <c r="H8" s="499"/>
      <c r="I8" s="499"/>
      <c r="J8" s="499"/>
    </row>
    <row r="11" spans="1:26" ht="15" x14ac:dyDescent="0.2">
      <c r="A11" s="404"/>
      <c r="B11" s="404"/>
      <c r="C11" s="404"/>
      <c r="D11" s="404"/>
      <c r="E11" s="404"/>
      <c r="F11" s="404"/>
      <c r="G11" s="404"/>
      <c r="H11" s="404"/>
      <c r="I11" s="404"/>
      <c r="J11" s="404"/>
    </row>
    <row r="12" spans="1:26" ht="15" x14ac:dyDescent="0.2">
      <c r="A12" s="404"/>
      <c r="B12" s="404"/>
      <c r="C12" s="404"/>
      <c r="D12" s="404"/>
      <c r="E12" s="404"/>
      <c r="F12" s="404"/>
      <c r="G12" s="404"/>
      <c r="H12" s="404"/>
      <c r="I12" s="404"/>
      <c r="J12" s="404"/>
    </row>
    <row r="13" spans="1:26" ht="12.75" customHeight="1" x14ac:dyDescent="0.2">
      <c r="A13" s="499" t="s">
        <v>210</v>
      </c>
      <c r="B13" s="499"/>
      <c r="C13" s="499"/>
      <c r="D13" s="499"/>
      <c r="E13" s="499"/>
      <c r="F13" s="499"/>
      <c r="G13" s="499"/>
      <c r="H13" s="499"/>
      <c r="I13" s="499"/>
      <c r="J13" s="499"/>
    </row>
    <row r="14" spans="1:26" ht="12.75" customHeight="1" x14ac:dyDescent="0.2">
      <c r="A14" s="499"/>
      <c r="B14" s="499"/>
      <c r="C14" s="499"/>
      <c r="D14" s="499"/>
      <c r="E14" s="499"/>
      <c r="F14" s="499"/>
      <c r="G14" s="499"/>
      <c r="H14" s="499"/>
      <c r="I14" s="499"/>
      <c r="J14" s="499"/>
    </row>
    <row r="15" spans="1:26" ht="12.75" customHeight="1" x14ac:dyDescent="0.2">
      <c r="A15" s="499"/>
      <c r="B15" s="499"/>
      <c r="C15" s="499"/>
      <c r="D15" s="499"/>
      <c r="E15" s="499"/>
      <c r="F15" s="499"/>
      <c r="G15" s="499"/>
      <c r="H15" s="499"/>
      <c r="I15" s="499"/>
      <c r="J15" s="499"/>
      <c r="Z15" s="113" t="s">
        <v>781</v>
      </c>
    </row>
    <row r="16" spans="1:26" ht="12.75" customHeight="1" x14ac:dyDescent="0.2">
      <c r="A16" s="111"/>
      <c r="B16" s="111"/>
      <c r="C16" s="111"/>
      <c r="D16" s="111"/>
      <c r="E16" s="111"/>
      <c r="F16" s="111"/>
      <c r="G16" s="111"/>
      <c r="H16" s="111"/>
      <c r="I16" s="111"/>
      <c r="J16" s="111"/>
    </row>
    <row r="17" spans="1:10" ht="12.75" customHeight="1" x14ac:dyDescent="0.2">
      <c r="A17" s="111"/>
      <c r="B17" s="111"/>
      <c r="C17" s="111"/>
      <c r="D17" s="111"/>
      <c r="E17" s="111"/>
      <c r="F17" s="111"/>
      <c r="G17" s="111"/>
      <c r="H17" s="111"/>
      <c r="I17" s="111"/>
      <c r="J17" s="111"/>
    </row>
    <row r="18" spans="1:10" ht="12.75" customHeight="1" x14ac:dyDescent="0.2">
      <c r="A18" s="111"/>
      <c r="B18" s="111"/>
      <c r="C18" s="111"/>
      <c r="D18" s="111"/>
      <c r="E18" s="111"/>
      <c r="F18" s="111"/>
      <c r="G18" s="111"/>
      <c r="H18" s="111"/>
      <c r="I18" s="111"/>
      <c r="J18" s="111"/>
    </row>
    <row r="19" spans="1:10" ht="20.25" customHeight="1" x14ac:dyDescent="0.2">
      <c r="A19" s="111" t="s">
        <v>211</v>
      </c>
      <c r="B19" s="382" t="s">
        <v>212</v>
      </c>
      <c r="C19" s="382"/>
      <c r="D19" s="382"/>
      <c r="E19" s="382"/>
      <c r="F19" s="382"/>
      <c r="G19" s="382"/>
      <c r="H19" s="382"/>
      <c r="I19" s="382"/>
    </row>
    <row r="20" spans="1:10" ht="12.75" customHeight="1" x14ac:dyDescent="0.2">
      <c r="A20" s="405"/>
      <c r="B20" s="110"/>
      <c r="C20" s="110"/>
      <c r="D20" s="110"/>
      <c r="E20" s="110"/>
      <c r="F20" s="110"/>
      <c r="G20" s="110"/>
      <c r="H20" s="110"/>
      <c r="I20" s="110"/>
    </row>
    <row r="21" spans="1:10" ht="15" x14ac:dyDescent="0.2">
      <c r="A21" s="406">
        <v>1</v>
      </c>
      <c r="B21" s="136" t="s">
        <v>783</v>
      </c>
      <c r="C21" s="136"/>
      <c r="D21" s="136"/>
      <c r="E21" s="136"/>
      <c r="F21" s="136"/>
      <c r="G21" s="136"/>
      <c r="H21" s="136"/>
      <c r="I21" s="136"/>
    </row>
    <row r="22" spans="1:10" ht="15" x14ac:dyDescent="0.2">
      <c r="A22" s="406"/>
      <c r="B22" s="136"/>
      <c r="C22" s="136"/>
      <c r="D22" s="136"/>
      <c r="E22" s="136"/>
      <c r="F22" s="136"/>
      <c r="G22" s="136"/>
      <c r="H22" s="136"/>
      <c r="I22" s="136"/>
    </row>
    <row r="23" spans="1:10" ht="15" x14ac:dyDescent="0.2">
      <c r="A23" s="406">
        <v>2</v>
      </c>
      <c r="B23" s="136" t="s">
        <v>213</v>
      </c>
      <c r="C23" s="136"/>
      <c r="D23" s="136"/>
      <c r="E23" s="136"/>
      <c r="F23" s="136"/>
      <c r="G23" s="136"/>
      <c r="H23" s="136"/>
      <c r="I23" s="136"/>
    </row>
    <row r="24" spans="1:10" ht="15" x14ac:dyDescent="0.2">
      <c r="A24" s="406"/>
      <c r="B24" s="136"/>
      <c r="C24" s="136"/>
      <c r="D24" s="136"/>
      <c r="E24" s="136"/>
      <c r="F24" s="136"/>
      <c r="G24" s="136"/>
      <c r="H24" s="136"/>
      <c r="I24" s="136"/>
    </row>
    <row r="25" spans="1:10" ht="15" x14ac:dyDescent="0.2">
      <c r="A25" s="406">
        <v>3</v>
      </c>
      <c r="B25" s="136" t="s">
        <v>214</v>
      </c>
      <c r="C25" s="136"/>
      <c r="D25" s="136"/>
      <c r="E25" s="136"/>
      <c r="F25" s="136"/>
      <c r="G25" s="136"/>
      <c r="H25" s="136"/>
      <c r="I25" s="136"/>
    </row>
    <row r="26" spans="1:10" ht="15" x14ac:dyDescent="0.2">
      <c r="A26" s="406"/>
      <c r="B26" s="136"/>
      <c r="C26" s="136"/>
      <c r="D26" s="136"/>
      <c r="E26" s="136"/>
      <c r="F26" s="136"/>
      <c r="G26" s="136"/>
      <c r="H26" s="136"/>
      <c r="I26" s="136"/>
    </row>
    <row r="27" spans="1:10" ht="15" x14ac:dyDescent="0.2">
      <c r="A27" s="406">
        <v>4</v>
      </c>
      <c r="B27" s="136" t="s">
        <v>773</v>
      </c>
      <c r="C27" s="136"/>
      <c r="D27" s="136"/>
      <c r="E27" s="136"/>
      <c r="F27" s="136"/>
      <c r="G27" s="136"/>
      <c r="H27" s="136"/>
      <c r="I27" s="136"/>
    </row>
    <row r="28" spans="1:10" ht="15" x14ac:dyDescent="0.2">
      <c r="A28" s="406"/>
      <c r="B28" s="136"/>
      <c r="C28" s="136"/>
      <c r="D28" s="136"/>
      <c r="E28" s="136"/>
      <c r="F28" s="136"/>
      <c r="G28" s="136"/>
      <c r="H28" s="136"/>
      <c r="I28" s="136"/>
    </row>
    <row r="29" spans="1:10" ht="14.25" customHeight="1" x14ac:dyDescent="0.2">
      <c r="A29" s="406">
        <v>5</v>
      </c>
      <c r="B29" s="136" t="s">
        <v>909</v>
      </c>
      <c r="C29" s="136"/>
      <c r="D29" s="136"/>
      <c r="E29" s="136"/>
      <c r="F29" s="136"/>
      <c r="G29" s="136"/>
      <c r="H29" s="136"/>
      <c r="I29" s="136"/>
    </row>
    <row r="30" spans="1:10" ht="15" x14ac:dyDescent="0.2">
      <c r="A30" s="406"/>
      <c r="B30" s="136"/>
      <c r="C30" s="136"/>
      <c r="D30" s="136"/>
      <c r="E30" s="136"/>
      <c r="F30" s="136"/>
      <c r="G30" s="136"/>
      <c r="H30" s="136"/>
      <c r="I30" s="136"/>
    </row>
    <row r="31" spans="1:10" ht="15" x14ac:dyDescent="0.2">
      <c r="A31" s="408">
        <v>6</v>
      </c>
      <c r="B31" s="136" t="s">
        <v>782</v>
      </c>
      <c r="C31" s="136"/>
      <c r="D31" s="136"/>
      <c r="E31" s="136"/>
      <c r="F31" s="136"/>
      <c r="G31" s="136"/>
      <c r="H31" s="136"/>
      <c r="I31" s="136"/>
    </row>
    <row r="32" spans="1:10" ht="15" x14ac:dyDescent="0.2">
      <c r="A32" s="406"/>
      <c r="B32" s="136"/>
      <c r="C32" s="136"/>
      <c r="D32" s="136"/>
      <c r="E32" s="136"/>
      <c r="F32" s="136"/>
      <c r="G32" s="136"/>
      <c r="H32" s="136"/>
      <c r="I32" s="136"/>
    </row>
    <row r="33" spans="1:10" ht="15" hidden="1" customHeight="1" x14ac:dyDescent="0.2">
      <c r="A33" s="406" t="s">
        <v>976</v>
      </c>
      <c r="B33" s="136" t="s">
        <v>215</v>
      </c>
      <c r="C33" s="136"/>
      <c r="D33" s="136"/>
      <c r="E33" s="136"/>
      <c r="F33" s="136"/>
      <c r="G33" s="136"/>
      <c r="H33" s="136"/>
      <c r="I33" s="136"/>
    </row>
    <row r="34" spans="1:10" ht="15" hidden="1" customHeight="1" x14ac:dyDescent="0.2">
      <c r="A34" s="406"/>
      <c r="B34" s="136"/>
      <c r="C34" s="136"/>
      <c r="D34" s="136"/>
      <c r="E34" s="136"/>
      <c r="F34" s="136"/>
      <c r="G34" s="136"/>
      <c r="H34" s="136"/>
      <c r="I34" s="136"/>
    </row>
    <row r="35" spans="1:10" ht="15" hidden="1" customHeight="1" x14ac:dyDescent="0.2">
      <c r="A35" s="407" t="s">
        <v>1033</v>
      </c>
      <c r="B35" s="136" t="s">
        <v>910</v>
      </c>
      <c r="C35" s="136"/>
      <c r="D35" s="136"/>
      <c r="E35" s="136"/>
      <c r="F35" s="136"/>
      <c r="G35" s="136"/>
      <c r="H35" s="136"/>
      <c r="I35" s="136"/>
    </row>
    <row r="36" spans="1:10" ht="15" hidden="1" customHeight="1" x14ac:dyDescent="0.2">
      <c r="A36" s="406"/>
      <c r="B36" s="136"/>
      <c r="C36" s="136"/>
      <c r="D36" s="136"/>
      <c r="E36" s="136"/>
      <c r="F36" s="136"/>
      <c r="G36" s="136"/>
      <c r="H36" s="136"/>
      <c r="I36" s="136"/>
    </row>
    <row r="37" spans="1:10" ht="15" x14ac:dyDescent="0.2">
      <c r="A37" s="406"/>
      <c r="B37" s="136" t="s">
        <v>952</v>
      </c>
      <c r="C37" s="136"/>
      <c r="D37" s="136"/>
      <c r="E37" s="136"/>
      <c r="F37" s="136"/>
      <c r="G37" s="136"/>
      <c r="H37" s="136"/>
      <c r="I37" s="136"/>
    </row>
    <row r="38" spans="1:10" ht="15" x14ac:dyDescent="0.2">
      <c r="A38" s="406"/>
      <c r="B38" s="136"/>
      <c r="C38" s="136"/>
      <c r="D38" s="136"/>
      <c r="E38" s="136"/>
      <c r="F38" s="136"/>
      <c r="G38" s="136"/>
      <c r="H38" s="136"/>
      <c r="I38" s="136"/>
    </row>
    <row r="39" spans="1:10" ht="15.75" x14ac:dyDescent="0.25">
      <c r="A39" s="406"/>
      <c r="B39" s="262" t="s">
        <v>1472</v>
      </c>
      <c r="C39" s="136"/>
      <c r="D39" s="136"/>
      <c r="E39" s="136"/>
      <c r="F39" s="136"/>
      <c r="G39" s="136"/>
      <c r="H39" s="136"/>
      <c r="I39" s="136"/>
    </row>
    <row r="40" spans="1:10" ht="15" x14ac:dyDescent="0.2">
      <c r="A40" s="404"/>
      <c r="B40" s="406"/>
      <c r="C40" s="500"/>
      <c r="D40" s="500"/>
      <c r="E40" s="500"/>
      <c r="F40" s="500"/>
      <c r="G40" s="500"/>
      <c r="H40" s="500"/>
      <c r="I40" s="500"/>
      <c r="J40" s="500"/>
    </row>
    <row r="41" spans="1:10" ht="15" x14ac:dyDescent="0.2">
      <c r="A41" s="404"/>
      <c r="B41" s="406"/>
      <c r="C41" s="500"/>
      <c r="D41" s="500"/>
      <c r="E41" s="500"/>
      <c r="F41" s="500"/>
      <c r="G41" s="500"/>
      <c r="H41" s="500"/>
      <c r="I41" s="500"/>
      <c r="J41" s="500"/>
    </row>
    <row r="42" spans="1:10" ht="15" x14ac:dyDescent="0.2">
      <c r="A42" s="404"/>
      <c r="B42" s="406"/>
      <c r="C42" s="404"/>
      <c r="D42" s="404"/>
      <c r="E42" s="404"/>
      <c r="F42" s="404"/>
      <c r="G42" s="404"/>
      <c r="H42" s="404"/>
      <c r="I42" s="404"/>
      <c r="J42" s="404"/>
    </row>
    <row r="43" spans="1:10" ht="15" x14ac:dyDescent="0.2">
      <c r="A43" s="404"/>
      <c r="B43" s="404"/>
      <c r="C43" s="404"/>
      <c r="D43" s="404"/>
      <c r="E43" s="404"/>
      <c r="F43" s="404"/>
      <c r="G43" s="404"/>
      <c r="H43" s="404"/>
      <c r="I43" s="404"/>
      <c r="J43" s="404"/>
    </row>
    <row r="44" spans="1:10" ht="15" x14ac:dyDescent="0.2">
      <c r="A44" s="404"/>
      <c r="B44" s="404"/>
      <c r="C44" s="404"/>
      <c r="D44" s="404"/>
      <c r="E44" s="404"/>
      <c r="F44" s="404"/>
      <c r="G44" s="404"/>
      <c r="H44" s="404"/>
      <c r="I44" s="404"/>
      <c r="J44" s="404"/>
    </row>
    <row r="45" spans="1:10" ht="15" x14ac:dyDescent="0.2">
      <c r="A45" s="404"/>
      <c r="B45" s="404"/>
      <c r="C45" s="404"/>
      <c r="D45" s="404"/>
      <c r="E45" s="404"/>
      <c r="F45" s="404"/>
      <c r="G45" s="404"/>
      <c r="H45" s="404"/>
      <c r="I45" s="404"/>
      <c r="J45" s="404"/>
    </row>
    <row r="46" spans="1:10" ht="15" x14ac:dyDescent="0.2">
      <c r="A46" s="404"/>
      <c r="B46" s="404"/>
      <c r="C46" s="404"/>
      <c r="D46" s="404"/>
      <c r="E46" s="404"/>
      <c r="F46" s="404"/>
      <c r="G46" s="404"/>
      <c r="H46" s="404"/>
      <c r="I46" s="404"/>
      <c r="J46" s="404"/>
    </row>
    <row r="47" spans="1:10" ht="15" x14ac:dyDescent="0.2">
      <c r="A47" s="404"/>
      <c r="B47" s="404"/>
      <c r="C47" s="404"/>
      <c r="D47" s="404"/>
      <c r="E47" s="404"/>
      <c r="F47" s="404"/>
      <c r="G47" s="404"/>
      <c r="H47" s="404"/>
      <c r="I47" s="404"/>
      <c r="J47" s="404"/>
    </row>
    <row r="63" spans="12:12" x14ac:dyDescent="0.2">
      <c r="L63" s="61" t="s">
        <v>1471</v>
      </c>
    </row>
    <row r="214" spans="2:7" x14ac:dyDescent="0.2">
      <c r="B214"/>
      <c r="C214"/>
      <c r="D214"/>
      <c r="E214"/>
      <c r="F214"/>
      <c r="G214"/>
    </row>
    <row r="215" spans="2:7" x14ac:dyDescent="0.2">
      <c r="B215"/>
      <c r="C215"/>
      <c r="D215"/>
      <c r="E215"/>
      <c r="F215"/>
      <c r="G215"/>
    </row>
    <row r="216" spans="2:7" x14ac:dyDescent="0.2">
      <c r="B216"/>
      <c r="C216"/>
      <c r="D216"/>
      <c r="E216"/>
      <c r="F216"/>
      <c r="G216"/>
    </row>
    <row r="217" spans="2:7" x14ac:dyDescent="0.2">
      <c r="B217"/>
      <c r="C217"/>
      <c r="D217"/>
      <c r="E217"/>
      <c r="F217"/>
      <c r="G217"/>
    </row>
    <row r="218" spans="2:7" x14ac:dyDescent="0.2">
      <c r="B218"/>
      <c r="C218"/>
      <c r="D218"/>
      <c r="E218"/>
      <c r="F218"/>
      <c r="G218"/>
    </row>
    <row r="219" spans="2:7" x14ac:dyDescent="0.2">
      <c r="B219"/>
      <c r="C219"/>
      <c r="D219"/>
      <c r="E219"/>
      <c r="F219"/>
      <c r="G219"/>
    </row>
    <row r="220" spans="2:7" x14ac:dyDescent="0.2">
      <c r="B220"/>
      <c r="C220"/>
      <c r="D220"/>
      <c r="E220"/>
      <c r="F220"/>
      <c r="G220"/>
    </row>
    <row r="221" spans="2:7" x14ac:dyDescent="0.2">
      <c r="B221"/>
      <c r="C221"/>
      <c r="D221"/>
      <c r="E221"/>
      <c r="F221"/>
      <c r="G221"/>
    </row>
    <row r="222" spans="2:7" x14ac:dyDescent="0.2">
      <c r="B222"/>
      <c r="C222"/>
      <c r="D222"/>
      <c r="E222"/>
      <c r="F222"/>
      <c r="G222"/>
    </row>
    <row r="223" spans="2:7" x14ac:dyDescent="0.2">
      <c r="B223"/>
      <c r="C223"/>
      <c r="D223"/>
      <c r="E223"/>
      <c r="F223"/>
      <c r="G223"/>
    </row>
    <row r="224" spans="2:7" x14ac:dyDescent="0.2">
      <c r="B224"/>
      <c r="C224"/>
      <c r="D224"/>
      <c r="E224"/>
      <c r="F224"/>
      <c r="G224"/>
    </row>
    <row r="225" spans="2:7" x14ac:dyDescent="0.2">
      <c r="B225"/>
      <c r="C225"/>
      <c r="D225"/>
      <c r="E225"/>
      <c r="F225"/>
      <c r="G225"/>
    </row>
    <row r="226" spans="2:7" x14ac:dyDescent="0.2">
      <c r="B226"/>
      <c r="C226"/>
      <c r="D226"/>
      <c r="E226"/>
      <c r="F226"/>
      <c r="G226"/>
    </row>
    <row r="227" spans="2:7" x14ac:dyDescent="0.2">
      <c r="B227">
        <f>3606052-128340</f>
        <v>3477712</v>
      </c>
      <c r="C227"/>
      <c r="D227">
        <v>1111566</v>
      </c>
      <c r="E227">
        <f>4491558-1041525-128340</f>
        <v>3321693</v>
      </c>
      <c r="F227"/>
      <c r="G227">
        <f>2340865-1041525-128340</f>
        <v>1171000</v>
      </c>
    </row>
    <row r="228" spans="2:7" x14ac:dyDescent="0.2">
      <c r="B228"/>
      <c r="C228"/>
      <c r="D228"/>
      <c r="E228"/>
      <c r="F228"/>
      <c r="G228"/>
    </row>
    <row r="229" spans="2:7" x14ac:dyDescent="0.2">
      <c r="B229"/>
      <c r="C229"/>
      <c r="D229"/>
      <c r="E229"/>
      <c r="F229"/>
      <c r="G229"/>
    </row>
    <row r="230" spans="2:7" x14ac:dyDescent="0.2">
      <c r="B230"/>
      <c r="C230"/>
      <c r="D230"/>
      <c r="E230"/>
      <c r="F230"/>
      <c r="G230"/>
    </row>
    <row r="231" spans="2:7" x14ac:dyDescent="0.2">
      <c r="B231">
        <v>4917232</v>
      </c>
      <c r="C231"/>
      <c r="D231">
        <f>B231</f>
        <v>4917232</v>
      </c>
      <c r="E231">
        <f>1041525+128340</f>
        <v>1169865</v>
      </c>
      <c r="F231"/>
      <c r="G231"/>
    </row>
    <row r="232" spans="2:7" x14ac:dyDescent="0.2">
      <c r="B232"/>
      <c r="C232"/>
      <c r="D232"/>
      <c r="E232"/>
      <c r="F232"/>
      <c r="G232"/>
    </row>
    <row r="437" spans="1:1" x14ac:dyDescent="0.2">
      <c r="A437" s="61" t="s">
        <v>1543</v>
      </c>
    </row>
    <row r="505" ht="19.5" customHeight="1" x14ac:dyDescent="0.2"/>
    <row r="506" ht="270.75" customHeight="1" x14ac:dyDescent="0.2"/>
  </sheetData>
  <mergeCells count="5">
    <mergeCell ref="A3:J5"/>
    <mergeCell ref="A8:J8"/>
    <mergeCell ref="A13:J15"/>
    <mergeCell ref="C41:J41"/>
    <mergeCell ref="C40:J40"/>
  </mergeCells>
  <phoneticPr fontId="50" type="noConversion"/>
  <pageMargins left="0.39370078740157483" right="0.39370078740157483" top="0.74803149606299213" bottom="0.74803149606299213" header="0.31496062992125984" footer="0.31496062992125984"/>
  <pageSetup paperSize="9" scale="89" firstPageNumber="6" orientation="portrait" cellComments="asDisplayed" r:id="rId1"/>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615"/>
  <sheetViews>
    <sheetView view="pageBreakPreview" topLeftCell="A5" zoomScale="106" zoomScaleNormal="100" zoomScaleSheetLayoutView="106" workbookViewId="0">
      <selection activeCell="H36" sqref="H36"/>
    </sheetView>
  </sheetViews>
  <sheetFormatPr defaultColWidth="9.140625" defaultRowHeight="12.75" x14ac:dyDescent="0.2"/>
  <cols>
    <col min="1" max="1" width="15.42578125" style="61" customWidth="1"/>
    <col min="2" max="2" width="3.85546875" style="61" customWidth="1"/>
    <col min="3" max="3" width="5.7109375" style="61" customWidth="1"/>
    <col min="4" max="5" width="10" style="61" customWidth="1"/>
    <col min="6" max="6" width="11.5703125" style="61" customWidth="1"/>
    <col min="7" max="7" width="10" style="61" customWidth="1"/>
    <col min="8" max="8" width="20.42578125" style="61" customWidth="1"/>
    <col min="9" max="9" width="16.7109375" style="61" customWidth="1"/>
    <col min="10" max="11" width="10" style="61" customWidth="1"/>
    <col min="12" max="16384" width="9.140625" style="61"/>
  </cols>
  <sheetData>
    <row r="1" spans="1:9" ht="26.25" x14ac:dyDescent="0.4">
      <c r="A1" s="409" t="str">
        <f>+Header!A2</f>
        <v>Blind and Low Vision Education Network NZ</v>
      </c>
      <c r="B1" s="112"/>
      <c r="C1" s="112"/>
      <c r="D1" s="112"/>
    </row>
    <row r="3" spans="1:9" ht="20.25" x14ac:dyDescent="0.3">
      <c r="A3" s="410" t="s">
        <v>783</v>
      </c>
    </row>
    <row r="5" spans="1:9" ht="20.25" x14ac:dyDescent="0.3">
      <c r="A5" s="410" t="str">
        <f>CONCATENATE("For the year ended 31 December ",Data!B2)</f>
        <v>For the year ended 31 December 2023</v>
      </c>
    </row>
    <row r="8" spans="1:9" hidden="1" x14ac:dyDescent="0.2">
      <c r="A8" s="113" t="s">
        <v>224</v>
      </c>
    </row>
    <row r="9" spans="1:9" hidden="1" x14ac:dyDescent="0.2">
      <c r="A9" s="113" t="s">
        <v>225</v>
      </c>
    </row>
    <row r="10" spans="1:9" hidden="1" x14ac:dyDescent="0.2">
      <c r="A10" s="115" t="str">
        <f>CONCATENATE("31 December ",Data!B2)</f>
        <v>31 December 2023</v>
      </c>
    </row>
    <row r="12" spans="1:9" ht="15" x14ac:dyDescent="0.2">
      <c r="A12" s="404" t="s">
        <v>1511</v>
      </c>
      <c r="B12" s="404"/>
      <c r="C12" s="404"/>
      <c r="D12" s="404"/>
      <c r="E12" s="404"/>
      <c r="F12" s="404"/>
      <c r="G12" s="404"/>
      <c r="H12" s="404"/>
      <c r="I12" s="404"/>
    </row>
    <row r="13" spans="1:9" ht="15" x14ac:dyDescent="0.2">
      <c r="A13" s="404" t="s">
        <v>216</v>
      </c>
      <c r="B13" s="404"/>
      <c r="C13" s="404"/>
      <c r="D13" s="404"/>
      <c r="E13" s="404"/>
      <c r="F13" s="404"/>
      <c r="G13" s="404"/>
      <c r="H13" s="404"/>
      <c r="I13" s="404"/>
    </row>
    <row r="14" spans="1:9" ht="15" x14ac:dyDescent="0.2">
      <c r="A14" s="404"/>
      <c r="B14" s="404"/>
      <c r="C14" s="404"/>
      <c r="D14" s="404"/>
      <c r="E14" s="404"/>
      <c r="F14" s="404"/>
      <c r="G14" s="404"/>
      <c r="H14" s="404"/>
      <c r="I14" s="404"/>
    </row>
    <row r="15" spans="1:9" ht="15" x14ac:dyDescent="0.2">
      <c r="A15" s="404" t="s">
        <v>217</v>
      </c>
      <c r="B15" s="404"/>
      <c r="C15" s="404"/>
      <c r="D15" s="404"/>
      <c r="E15" s="404"/>
      <c r="F15" s="404"/>
      <c r="G15" s="404"/>
      <c r="H15" s="404"/>
      <c r="I15" s="404"/>
    </row>
    <row r="16" spans="1:9" ht="15" x14ac:dyDescent="0.2">
      <c r="A16" s="404" t="s">
        <v>218</v>
      </c>
      <c r="B16" s="404"/>
      <c r="C16" s="404"/>
      <c r="D16" s="404"/>
      <c r="E16" s="404"/>
      <c r="F16" s="404"/>
      <c r="G16" s="404"/>
      <c r="H16" s="404"/>
      <c r="I16" s="404"/>
    </row>
    <row r="17" spans="1:9" ht="15" x14ac:dyDescent="0.2">
      <c r="A17" s="404" t="s">
        <v>219</v>
      </c>
      <c r="B17" s="404"/>
      <c r="C17" s="404"/>
      <c r="D17" s="404"/>
      <c r="E17" s="404"/>
      <c r="F17" s="404"/>
      <c r="G17" s="404"/>
      <c r="H17" s="404"/>
      <c r="I17" s="404"/>
    </row>
    <row r="18" spans="1:9" ht="15" x14ac:dyDescent="0.2">
      <c r="A18" s="404"/>
      <c r="B18" s="404"/>
      <c r="C18" s="404"/>
      <c r="D18" s="404"/>
      <c r="E18" s="404"/>
      <c r="F18" s="404"/>
      <c r="G18" s="404"/>
      <c r="H18" s="404"/>
      <c r="I18" s="404"/>
    </row>
    <row r="19" spans="1:9" ht="15" x14ac:dyDescent="0.2">
      <c r="A19" s="404" t="s">
        <v>220</v>
      </c>
      <c r="B19" s="404"/>
      <c r="C19" s="404"/>
      <c r="D19" s="404"/>
      <c r="E19" s="404"/>
      <c r="F19" s="404"/>
      <c r="G19" s="404"/>
      <c r="H19" s="404"/>
      <c r="I19" s="404"/>
    </row>
    <row r="20" spans="1:9" ht="15" x14ac:dyDescent="0.2">
      <c r="A20" s="404" t="str">
        <f>CONCATENATE("ended 31 December ",Data!B2," fairly reflects the financial position and operations of the school.")</f>
        <v>ended 31 December 2023 fairly reflects the financial position and operations of the school.</v>
      </c>
      <c r="B20" s="404"/>
      <c r="C20" s="404"/>
      <c r="D20" s="404"/>
      <c r="E20" s="404"/>
      <c r="F20" s="404"/>
      <c r="G20" s="404"/>
      <c r="H20" s="404"/>
      <c r="I20" s="404"/>
    </row>
    <row r="21" spans="1:9" ht="15" x14ac:dyDescent="0.2">
      <c r="A21" s="404"/>
      <c r="B21" s="404"/>
      <c r="C21" s="404"/>
      <c r="D21" s="404"/>
      <c r="E21" s="404"/>
      <c r="F21" s="404"/>
      <c r="G21" s="404"/>
      <c r="H21" s="404"/>
      <c r="I21" s="404"/>
    </row>
    <row r="22" spans="1:9" ht="15" x14ac:dyDescent="0.2">
      <c r="A22" s="404" t="s">
        <v>1656</v>
      </c>
      <c r="B22" s="404"/>
      <c r="C22" s="404"/>
      <c r="D22" s="404"/>
      <c r="E22" s="404"/>
      <c r="F22" s="404"/>
      <c r="G22" s="404"/>
      <c r="H22" s="404"/>
      <c r="I22" s="404"/>
    </row>
    <row r="23" spans="1:9" ht="15" x14ac:dyDescent="0.2">
      <c r="A23" s="404"/>
      <c r="B23" s="404"/>
      <c r="C23" s="404"/>
      <c r="D23" s="404"/>
      <c r="E23" s="404"/>
      <c r="F23" s="404"/>
      <c r="G23" s="404"/>
      <c r="H23" s="404"/>
      <c r="I23" s="404"/>
    </row>
    <row r="24" spans="1:9" ht="15" x14ac:dyDescent="0.2">
      <c r="A24" s="404"/>
      <c r="B24" s="404"/>
      <c r="C24" s="404"/>
      <c r="D24" s="404"/>
      <c r="E24" s="404"/>
      <c r="F24" s="404"/>
      <c r="G24" s="404"/>
      <c r="H24" s="404"/>
      <c r="I24" s="404"/>
    </row>
    <row r="25" spans="1:9" ht="15" x14ac:dyDescent="0.2">
      <c r="A25" s="404"/>
      <c r="B25" s="404"/>
      <c r="C25" s="404"/>
      <c r="D25" s="404"/>
      <c r="E25" s="404"/>
      <c r="F25" s="404"/>
      <c r="G25" s="404"/>
      <c r="H25" s="404"/>
      <c r="I25" s="404"/>
    </row>
    <row r="26" spans="1:9" ht="15" x14ac:dyDescent="0.2">
      <c r="A26" s="404"/>
      <c r="B26" s="404"/>
      <c r="C26" s="404"/>
      <c r="D26" s="404"/>
      <c r="E26" s="404"/>
      <c r="F26" s="404"/>
      <c r="G26" s="404"/>
      <c r="H26" s="404"/>
      <c r="I26" s="404"/>
    </row>
    <row r="27" spans="1:9" ht="15" x14ac:dyDescent="0.2">
      <c r="A27" s="404"/>
      <c r="B27" s="404"/>
      <c r="C27" s="404"/>
      <c r="D27" s="404"/>
      <c r="E27" s="404"/>
      <c r="F27" s="404"/>
      <c r="G27" s="404"/>
      <c r="H27" s="404"/>
      <c r="I27" s="404"/>
    </row>
    <row r="28" spans="1:9" ht="15" x14ac:dyDescent="0.2">
      <c r="A28" s="404"/>
      <c r="B28" s="404"/>
      <c r="C28" s="404"/>
      <c r="D28" s="404"/>
      <c r="E28" s="404"/>
      <c r="F28" s="404"/>
      <c r="G28" s="404"/>
      <c r="H28" s="404"/>
      <c r="I28" s="404"/>
    </row>
    <row r="29" spans="1:9" ht="14.25" customHeight="1" x14ac:dyDescent="0.2">
      <c r="A29" s="411" t="s">
        <v>1080</v>
      </c>
      <c r="B29" s="411"/>
      <c r="C29" s="411"/>
      <c r="D29" s="411"/>
      <c r="E29" s="404"/>
      <c r="F29" s="411" t="s">
        <v>1755</v>
      </c>
      <c r="G29" s="411"/>
      <c r="H29" s="411"/>
      <c r="I29" s="411"/>
    </row>
    <row r="30" spans="1:9" ht="15" x14ac:dyDescent="0.2">
      <c r="A30" s="404" t="s">
        <v>1510</v>
      </c>
      <c r="B30" s="404"/>
      <c r="C30" s="404"/>
      <c r="D30" s="404"/>
      <c r="E30" s="404"/>
      <c r="F30" s="404" t="s">
        <v>221</v>
      </c>
      <c r="G30" s="404"/>
      <c r="H30" s="404"/>
      <c r="I30" s="404"/>
    </row>
    <row r="31" spans="1:9" ht="15" x14ac:dyDescent="0.2">
      <c r="A31" s="404"/>
      <c r="B31" s="404"/>
      <c r="C31" s="404"/>
      <c r="D31" s="404"/>
      <c r="E31" s="404"/>
      <c r="F31" s="404"/>
      <c r="G31" s="404"/>
      <c r="H31" s="404"/>
      <c r="I31" s="404"/>
    </row>
    <row r="32" spans="1:9" ht="15" x14ac:dyDescent="0.2">
      <c r="A32" s="404"/>
      <c r="B32" s="404"/>
      <c r="C32" s="404"/>
      <c r="D32" s="404"/>
      <c r="E32" s="404"/>
      <c r="F32" s="404"/>
      <c r="G32" s="404"/>
      <c r="H32" s="404"/>
      <c r="I32" s="404"/>
    </row>
    <row r="33" spans="1:9" ht="15" x14ac:dyDescent="0.2">
      <c r="A33" s="404"/>
      <c r="B33" s="404"/>
      <c r="C33" s="404"/>
      <c r="D33" s="404"/>
      <c r="E33" s="404"/>
      <c r="F33" s="404"/>
      <c r="G33" s="404"/>
      <c r="H33" s="404"/>
      <c r="I33" s="404"/>
    </row>
    <row r="34" spans="1:9" ht="15" x14ac:dyDescent="0.2">
      <c r="A34" s="411"/>
      <c r="B34" s="411"/>
      <c r="C34" s="411"/>
      <c r="D34" s="411"/>
      <c r="E34" s="404"/>
      <c r="F34" s="411"/>
      <c r="G34" s="411"/>
      <c r="H34" s="411"/>
      <c r="I34" s="411"/>
    </row>
    <row r="35" spans="1:9" ht="15" x14ac:dyDescent="0.2">
      <c r="A35" s="404" t="s">
        <v>1705</v>
      </c>
      <c r="B35" s="404"/>
      <c r="C35" s="404"/>
      <c r="D35" s="404"/>
      <c r="E35" s="404"/>
      <c r="F35" s="404" t="s">
        <v>222</v>
      </c>
      <c r="G35" s="404"/>
      <c r="H35" s="404"/>
      <c r="I35" s="404"/>
    </row>
    <row r="36" spans="1:9" ht="15" x14ac:dyDescent="0.2">
      <c r="A36" s="404"/>
      <c r="B36" s="404"/>
      <c r="C36" s="404"/>
      <c r="D36" s="404"/>
      <c r="E36" s="404"/>
      <c r="F36" s="404"/>
      <c r="G36" s="404"/>
      <c r="H36" s="404"/>
      <c r="I36" s="404"/>
    </row>
    <row r="37" spans="1:9" ht="15" x14ac:dyDescent="0.2">
      <c r="A37" s="404"/>
      <c r="B37" s="404"/>
      <c r="C37" s="404"/>
      <c r="D37" s="404"/>
      <c r="E37" s="404"/>
      <c r="F37" s="404"/>
      <c r="G37" s="404"/>
      <c r="H37" s="404"/>
      <c r="I37" s="404"/>
    </row>
    <row r="38" spans="1:9" ht="15" x14ac:dyDescent="0.2">
      <c r="A38" s="412">
        <v>45443</v>
      </c>
      <c r="B38" s="411"/>
      <c r="C38" s="411"/>
      <c r="D38" s="411"/>
      <c r="E38" s="404"/>
      <c r="F38" s="412">
        <v>45443</v>
      </c>
      <c r="G38" s="411"/>
      <c r="H38" s="411"/>
      <c r="I38" s="411"/>
    </row>
    <row r="39" spans="1:9" ht="15" x14ac:dyDescent="0.2">
      <c r="A39" s="404" t="s">
        <v>223</v>
      </c>
      <c r="B39" s="404"/>
      <c r="C39" s="404"/>
      <c r="D39" s="404"/>
      <c r="E39" s="404"/>
      <c r="F39" s="404" t="s">
        <v>223</v>
      </c>
      <c r="G39" s="404"/>
      <c r="H39" s="404"/>
      <c r="I39" s="404"/>
    </row>
    <row r="62" spans="12:12" x14ac:dyDescent="0.2">
      <c r="L62" s="61" t="s">
        <v>1471</v>
      </c>
    </row>
    <row r="214" spans="2:7" x14ac:dyDescent="0.2">
      <c r="B214"/>
      <c r="C214"/>
      <c r="D214"/>
      <c r="E214"/>
      <c r="F214"/>
      <c r="G214"/>
    </row>
    <row r="215" spans="2:7" x14ac:dyDescent="0.2">
      <c r="B215"/>
      <c r="C215"/>
      <c r="D215"/>
      <c r="E215"/>
      <c r="F215"/>
      <c r="G215"/>
    </row>
    <row r="216" spans="2:7" x14ac:dyDescent="0.2">
      <c r="B216"/>
      <c r="C216"/>
      <c r="D216"/>
      <c r="E216"/>
      <c r="F216"/>
      <c r="G216"/>
    </row>
    <row r="217" spans="2:7" x14ac:dyDescent="0.2">
      <c r="B217"/>
      <c r="C217"/>
      <c r="D217"/>
      <c r="E217"/>
      <c r="F217"/>
      <c r="G217"/>
    </row>
    <row r="218" spans="2:7" x14ac:dyDescent="0.2">
      <c r="B218"/>
      <c r="C218"/>
      <c r="D218"/>
      <c r="E218"/>
      <c r="F218"/>
      <c r="G218"/>
    </row>
    <row r="219" spans="2:7" x14ac:dyDescent="0.2">
      <c r="B219"/>
      <c r="C219"/>
      <c r="D219"/>
      <c r="E219"/>
      <c r="F219"/>
      <c r="G219"/>
    </row>
    <row r="220" spans="2:7" x14ac:dyDescent="0.2">
      <c r="B220"/>
      <c r="C220"/>
      <c r="D220"/>
      <c r="E220"/>
      <c r="F220"/>
      <c r="G220"/>
    </row>
    <row r="221" spans="2:7" x14ac:dyDescent="0.2">
      <c r="B221"/>
      <c r="C221"/>
      <c r="D221"/>
      <c r="E221"/>
      <c r="F221"/>
      <c r="G221"/>
    </row>
    <row r="222" spans="2:7" x14ac:dyDescent="0.2">
      <c r="B222"/>
      <c r="C222"/>
      <c r="D222"/>
      <c r="E222"/>
      <c r="F222"/>
      <c r="G222"/>
    </row>
    <row r="223" spans="2:7" x14ac:dyDescent="0.2">
      <c r="B223"/>
      <c r="C223"/>
      <c r="D223"/>
      <c r="E223"/>
      <c r="F223"/>
      <c r="G223"/>
    </row>
    <row r="224" spans="2:7" x14ac:dyDescent="0.2">
      <c r="B224"/>
      <c r="C224"/>
      <c r="D224"/>
      <c r="E224"/>
      <c r="F224"/>
      <c r="G224"/>
    </row>
    <row r="225" spans="2:7" x14ac:dyDescent="0.2">
      <c r="B225"/>
      <c r="C225"/>
      <c r="D225"/>
      <c r="E225"/>
      <c r="F225"/>
      <c r="G225"/>
    </row>
    <row r="226" spans="2:7" x14ac:dyDescent="0.2">
      <c r="B226"/>
      <c r="C226"/>
      <c r="D226"/>
      <c r="E226"/>
      <c r="F226"/>
      <c r="G226"/>
    </row>
    <row r="227" spans="2:7" x14ac:dyDescent="0.2">
      <c r="B227">
        <f>3606052-128340</f>
        <v>3477712</v>
      </c>
      <c r="C227"/>
      <c r="D227">
        <v>1111566</v>
      </c>
      <c r="E227">
        <f>4491558-1041525-128340</f>
        <v>3321693</v>
      </c>
      <c r="F227"/>
      <c r="G227">
        <f>2340865-1041525-128340</f>
        <v>1171000</v>
      </c>
    </row>
    <row r="228" spans="2:7" x14ac:dyDescent="0.2">
      <c r="B228"/>
      <c r="C228"/>
      <c r="D228"/>
      <c r="E228"/>
      <c r="F228"/>
      <c r="G228"/>
    </row>
    <row r="229" spans="2:7" x14ac:dyDescent="0.2">
      <c r="B229"/>
      <c r="C229"/>
      <c r="D229"/>
      <c r="E229"/>
      <c r="F229"/>
      <c r="G229"/>
    </row>
    <row r="230" spans="2:7" x14ac:dyDescent="0.2">
      <c r="B230"/>
      <c r="C230"/>
      <c r="D230"/>
      <c r="E230"/>
      <c r="F230"/>
      <c r="G230"/>
    </row>
    <row r="231" spans="2:7" x14ac:dyDescent="0.2">
      <c r="B231">
        <v>4917232</v>
      </c>
      <c r="C231"/>
      <c r="D231">
        <f>B231</f>
        <v>4917232</v>
      </c>
      <c r="E231">
        <f>1041525+128340</f>
        <v>1169865</v>
      </c>
      <c r="F231"/>
      <c r="G231"/>
    </row>
    <row r="232" spans="2:7" x14ac:dyDescent="0.2">
      <c r="B232"/>
      <c r="C232"/>
      <c r="D232"/>
      <c r="E232"/>
      <c r="F232"/>
      <c r="G232"/>
    </row>
    <row r="437" spans="1:1" x14ac:dyDescent="0.2">
      <c r="A437" s="61" t="s">
        <v>1543</v>
      </c>
    </row>
    <row r="505" ht="19.5" customHeight="1" x14ac:dyDescent="0.2"/>
    <row r="506" ht="270.75" customHeight="1" x14ac:dyDescent="0.2"/>
    <row r="615" spans="7:8" x14ac:dyDescent="0.2">
      <c r="G615" s="114"/>
      <c r="H615" s="114"/>
    </row>
  </sheetData>
  <phoneticPr fontId="50" type="noConversion"/>
  <pageMargins left="0.39370078740157483" right="0.39370078740157483" top="0.74803149606299213" bottom="0.74803149606299213" header="0.31496062992125984" footer="0.31496062992125984"/>
  <pageSetup paperSize="9" scale="89" orientation="portrait" cellComments="asDisplayed" useFirstPageNumber="1" r:id="rId1"/>
  <headerFooter>
    <oddHeader>&amp;R&amp;G</oddHeader>
    <oddFooter>&amp;RPage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M509"/>
  <sheetViews>
    <sheetView showGridLines="0" view="pageBreakPreview" topLeftCell="A10" zoomScaleNormal="100" zoomScaleSheetLayoutView="100" workbookViewId="0">
      <selection activeCell="A3" sqref="A3"/>
    </sheetView>
  </sheetViews>
  <sheetFormatPr defaultColWidth="9.140625" defaultRowHeight="12.75" x14ac:dyDescent="0.2"/>
  <cols>
    <col min="1" max="1" width="45.42578125" customWidth="1"/>
    <col min="2" max="2" width="10.85546875" style="3" customWidth="1"/>
    <col min="3" max="3" width="22.7109375" style="3" customWidth="1"/>
    <col min="4" max="5" width="15.7109375" style="2" customWidth="1"/>
    <col min="6" max="6" width="11.5703125" bestFit="1" customWidth="1"/>
    <col min="7" max="7" width="10.85546875" bestFit="1" customWidth="1"/>
    <col min="8" max="8" width="13.85546875" customWidth="1"/>
    <col min="9" max="9" width="10.28515625" bestFit="1" customWidth="1"/>
    <col min="10" max="10" width="9.28515625" bestFit="1" customWidth="1"/>
  </cols>
  <sheetData>
    <row r="1" spans="1:13" s="1" customFormat="1" ht="26.25" x14ac:dyDescent="0.2">
      <c r="A1" s="413" t="str">
        <f>Header!A2</f>
        <v>Blind and Low Vision Education Network NZ</v>
      </c>
      <c r="B1" s="36"/>
      <c r="C1" s="36"/>
      <c r="D1" s="43"/>
      <c r="E1" s="43"/>
    </row>
    <row r="2" spans="1:13" ht="20.25" x14ac:dyDescent="0.3">
      <c r="A2" s="414" t="s">
        <v>1580</v>
      </c>
      <c r="E2" s="174"/>
    </row>
    <row r="3" spans="1:13" ht="18" x14ac:dyDescent="0.25">
      <c r="A3" s="267" t="str">
        <f>CONCATENATE("For the year ended 31 December ",Data!B2)</f>
        <v>For the year ended 31 December 2023</v>
      </c>
      <c r="B3"/>
      <c r="C3"/>
      <c r="D3"/>
      <c r="E3"/>
    </row>
    <row r="4" spans="1:13" s="5" customFormat="1" ht="15" x14ac:dyDescent="0.25">
      <c r="A4" s="269"/>
      <c r="B4" s="270"/>
      <c r="C4" s="270"/>
      <c r="D4" s="271"/>
      <c r="E4" s="271"/>
    </row>
    <row r="5" spans="1:13" ht="15" x14ac:dyDescent="0.25">
      <c r="A5" s="87"/>
      <c r="B5" s="99"/>
      <c r="C5" s="99">
        <f>Data!B2</f>
        <v>2023</v>
      </c>
      <c r="D5" s="99">
        <f>C5</f>
        <v>2023</v>
      </c>
      <c r="E5" s="99">
        <f>C5-1</f>
        <v>2022</v>
      </c>
    </row>
    <row r="6" spans="1:13" ht="15" x14ac:dyDescent="0.25">
      <c r="A6" s="87"/>
      <c r="B6" s="100" t="s">
        <v>610</v>
      </c>
      <c r="C6" s="100" t="s">
        <v>606</v>
      </c>
      <c r="D6" s="100" t="s">
        <v>607</v>
      </c>
      <c r="E6" s="100" t="s">
        <v>606</v>
      </c>
    </row>
    <row r="7" spans="1:13" ht="15" x14ac:dyDescent="0.25">
      <c r="A7" s="87"/>
      <c r="B7" s="100"/>
      <c r="C7" s="100"/>
      <c r="D7" s="158" t="s">
        <v>226</v>
      </c>
      <c r="E7" s="100"/>
    </row>
    <row r="8" spans="1:13" ht="15.75" thickBot="1" x14ac:dyDescent="0.3">
      <c r="A8" s="87"/>
      <c r="B8" s="100"/>
      <c r="C8" s="100" t="s">
        <v>605</v>
      </c>
      <c r="D8" s="100" t="s">
        <v>605</v>
      </c>
      <c r="E8" s="100" t="s">
        <v>605</v>
      </c>
    </row>
    <row r="9" spans="1:13" ht="20.25" x14ac:dyDescent="0.3">
      <c r="A9" s="415" t="s">
        <v>187</v>
      </c>
      <c r="B9" s="273"/>
      <c r="C9" s="274"/>
      <c r="D9" s="275"/>
      <c r="E9" s="275"/>
      <c r="F9" s="137"/>
      <c r="H9" s="88"/>
    </row>
    <row r="10" spans="1:13" s="16" customFormat="1" ht="15" x14ac:dyDescent="0.2">
      <c r="A10" s="389" t="s">
        <v>191</v>
      </c>
      <c r="B10" s="417">
        <v>2</v>
      </c>
      <c r="C10" s="418">
        <f>+Notes!F18</f>
        <v>27093418</v>
      </c>
      <c r="D10" s="419">
        <f>Notes!G18</f>
        <v>23783107</v>
      </c>
      <c r="E10" s="420">
        <f>+Notes!H18</f>
        <v>23938083</v>
      </c>
      <c r="F10" s="159"/>
      <c r="G10" s="24"/>
      <c r="H10" s="24"/>
      <c r="I10" s="24"/>
      <c r="J10" s="24"/>
    </row>
    <row r="11" spans="1:13" s="16" customFormat="1" ht="15" x14ac:dyDescent="0.2">
      <c r="A11" s="389" t="s">
        <v>236</v>
      </c>
      <c r="B11" s="417">
        <v>3</v>
      </c>
      <c r="C11" s="418">
        <f>+Notes!F32</f>
        <v>192704</v>
      </c>
      <c r="D11" s="419">
        <f>Notes!G32</f>
        <v>169850</v>
      </c>
      <c r="E11" s="420">
        <f>+Notes!H32</f>
        <v>207424</v>
      </c>
      <c r="F11" s="159"/>
      <c r="G11" s="24"/>
      <c r="H11" s="24"/>
      <c r="I11" s="24"/>
    </row>
    <row r="12" spans="1:13" s="16" customFormat="1" ht="15" x14ac:dyDescent="0.2">
      <c r="A12" s="389" t="s">
        <v>1512</v>
      </c>
      <c r="B12" s="417"/>
      <c r="C12" s="421">
        <f>'Codes allocation'!D133</f>
        <v>521591</v>
      </c>
      <c r="D12" s="419">
        <f>'Codes allocation'!F133</f>
        <v>90000</v>
      </c>
      <c r="E12" s="420">
        <f>+'Codes allocation'!H133</f>
        <v>170479</v>
      </c>
      <c r="M12" s="160"/>
    </row>
    <row r="13" spans="1:13" s="16" customFormat="1" ht="15" x14ac:dyDescent="0.2">
      <c r="A13" s="389" t="s">
        <v>1581</v>
      </c>
      <c r="B13" s="417"/>
      <c r="C13" s="421">
        <f>'Codes allocation'!D1060</f>
        <v>0</v>
      </c>
      <c r="D13" s="422">
        <f>'Codes allocation'!F1060</f>
        <v>0</v>
      </c>
      <c r="E13" s="423">
        <f>'Codes allocation'!H1060</f>
        <v>235</v>
      </c>
      <c r="M13" s="160"/>
    </row>
    <row r="14" spans="1:13" s="16" customFormat="1" ht="15" x14ac:dyDescent="0.2">
      <c r="A14" s="389" t="s">
        <v>1137</v>
      </c>
      <c r="B14" s="417"/>
      <c r="C14" s="422">
        <f>'Codes allocation'!D50-15</f>
        <v>497</v>
      </c>
      <c r="D14" s="422">
        <f>'Codes allocation'!F50</f>
        <v>0</v>
      </c>
      <c r="E14" s="422">
        <f>'Codes allocation'!H50</f>
        <v>20000</v>
      </c>
      <c r="L14" s="16" t="s">
        <v>781</v>
      </c>
      <c r="M14" s="160"/>
    </row>
    <row r="15" spans="1:13" s="16" customFormat="1" ht="15" x14ac:dyDescent="0.2">
      <c r="A15" s="389"/>
      <c r="B15" s="417"/>
      <c r="C15" s="422"/>
      <c r="D15" s="422"/>
      <c r="E15" s="422"/>
      <c r="I15" s="16" t="s">
        <v>781</v>
      </c>
      <c r="M15" s="160"/>
    </row>
    <row r="16" spans="1:13" s="16" customFormat="1" ht="15" x14ac:dyDescent="0.2">
      <c r="A16" s="424" t="s">
        <v>1717</v>
      </c>
      <c r="B16" s="417"/>
      <c r="C16" s="425">
        <f>SUM(C10:C14)</f>
        <v>27808210</v>
      </c>
      <c r="D16" s="425">
        <f>SUM(D10:D13)</f>
        <v>24042957</v>
      </c>
      <c r="E16" s="426">
        <f>SUM(E10:E14)</f>
        <v>24336221</v>
      </c>
      <c r="F16" s="159"/>
      <c r="G16" s="159"/>
      <c r="M16" s="157"/>
    </row>
    <row r="17" spans="1:13" ht="15" x14ac:dyDescent="0.2">
      <c r="A17" s="389"/>
      <c r="B17" s="417"/>
      <c r="C17" s="423"/>
      <c r="D17" s="423"/>
      <c r="E17" s="423"/>
      <c r="F17" s="64"/>
      <c r="M17" s="157"/>
    </row>
    <row r="18" spans="1:13" ht="15.75" x14ac:dyDescent="0.25">
      <c r="A18" s="427" t="s">
        <v>1706</v>
      </c>
      <c r="B18" s="417"/>
      <c r="C18" s="423"/>
      <c r="D18" s="423"/>
      <c r="E18" s="423"/>
      <c r="F18" s="161"/>
    </row>
    <row r="19" spans="1:13" ht="15" x14ac:dyDescent="0.2">
      <c r="A19" s="389" t="s">
        <v>236</v>
      </c>
      <c r="B19" s="417">
        <v>3</v>
      </c>
      <c r="C19" s="420">
        <f>Notes!F38</f>
        <v>119294</v>
      </c>
      <c r="D19" s="419">
        <f>Notes!G38</f>
        <v>122850</v>
      </c>
      <c r="E19" s="420">
        <f>+Notes!H38</f>
        <v>107429</v>
      </c>
      <c r="G19" s="64"/>
      <c r="H19" s="64"/>
      <c r="I19" s="64"/>
    </row>
    <row r="20" spans="1:13" ht="15" x14ac:dyDescent="0.2">
      <c r="A20" s="389" t="s">
        <v>1582</v>
      </c>
      <c r="B20" s="428" t="s">
        <v>994</v>
      </c>
      <c r="C20" s="420">
        <f>Notes!F52+Notes!F64+Notes!F77+Notes!F89+Notes!F101</f>
        <v>21244229</v>
      </c>
      <c r="D20" s="420">
        <f>Notes!G52+Notes!G64+Notes!G77+Notes!G89+Notes!G101</f>
        <v>20358217</v>
      </c>
      <c r="E20" s="420">
        <f>Notes!H52+Notes!H64+Notes!H77+Notes!H89+Notes!H101</f>
        <v>18382375</v>
      </c>
      <c r="F20" s="157"/>
      <c r="G20" s="4"/>
      <c r="H20" s="4"/>
      <c r="I20" s="4"/>
      <c r="J20" s="4"/>
      <c r="K20" s="33"/>
    </row>
    <row r="21" spans="1:13" ht="15" x14ac:dyDescent="0.2">
      <c r="A21" s="389" t="s">
        <v>611</v>
      </c>
      <c r="B21" s="417">
        <v>9</v>
      </c>
      <c r="C21" s="420">
        <f>Notes!F121</f>
        <v>1415211</v>
      </c>
      <c r="D21" s="419">
        <f>Notes!G121</f>
        <v>1515307</v>
      </c>
      <c r="E21" s="420">
        <f>+Notes!H121</f>
        <v>1398084</v>
      </c>
      <c r="F21" s="26"/>
      <c r="G21" s="4"/>
      <c r="H21" s="4"/>
      <c r="I21" s="4"/>
    </row>
    <row r="22" spans="1:13" ht="15" x14ac:dyDescent="0.2">
      <c r="A22" s="389" t="s">
        <v>616</v>
      </c>
      <c r="B22" s="417">
        <v>10</v>
      </c>
      <c r="C22" s="420">
        <f>Notes!F139</f>
        <v>3128639</v>
      </c>
      <c r="D22" s="419">
        <f>Notes!G139</f>
        <v>2306644</v>
      </c>
      <c r="E22" s="420">
        <f>+Notes!H139</f>
        <v>2182615</v>
      </c>
      <c r="F22" s="26"/>
      <c r="G22" s="4"/>
      <c r="H22" s="4"/>
      <c r="I22" s="4"/>
    </row>
    <row r="23" spans="1:13" ht="15" x14ac:dyDescent="0.2">
      <c r="A23" s="389" t="s">
        <v>911</v>
      </c>
      <c r="B23" s="417"/>
      <c r="C23" s="420">
        <f>'Codes allocation'!D1062</f>
        <v>14478</v>
      </c>
      <c r="D23" s="420">
        <f>'Codes allocation'!F1062</f>
        <v>630</v>
      </c>
      <c r="E23" s="420">
        <f>+'Codes allocation'!H1062</f>
        <v>14752</v>
      </c>
      <c r="F23" s="26"/>
      <c r="G23" s="4"/>
      <c r="H23" s="4"/>
      <c r="I23" s="4"/>
    </row>
    <row r="24" spans="1:13" ht="15" x14ac:dyDescent="0.2">
      <c r="A24" s="389" t="s">
        <v>612</v>
      </c>
      <c r="B24" s="417">
        <f>'Financial Position'!B32</f>
        <v>15</v>
      </c>
      <c r="C24" s="423">
        <f>'Codes allocation'!D1058</f>
        <v>713410</v>
      </c>
      <c r="D24" s="423">
        <f>'Codes allocation'!F1058</f>
        <v>809000</v>
      </c>
      <c r="E24" s="423">
        <f>'Codes allocation'!H1058</f>
        <v>629498</v>
      </c>
      <c r="F24" s="26"/>
      <c r="G24" s="4"/>
      <c r="H24" s="4"/>
      <c r="I24" s="4"/>
    </row>
    <row r="25" spans="1:13" ht="15" x14ac:dyDescent="0.2">
      <c r="A25" s="389" t="s">
        <v>125</v>
      </c>
      <c r="B25" s="417"/>
      <c r="C25" s="423">
        <f>'Codes allocation'!D1059</f>
        <v>12911</v>
      </c>
      <c r="D25" s="419">
        <f>'Codes allocation'!F1059</f>
        <v>0</v>
      </c>
      <c r="E25" s="423">
        <f>'Codes allocation'!H1059</f>
        <v>8986</v>
      </c>
      <c r="F25" s="26"/>
      <c r="G25" s="4"/>
      <c r="H25" s="4"/>
      <c r="I25" s="4"/>
    </row>
    <row r="26" spans="1:13" ht="15" x14ac:dyDescent="0.2">
      <c r="A26" s="389"/>
      <c r="B26" s="417"/>
      <c r="C26" s="423"/>
      <c r="D26" s="419"/>
      <c r="E26" s="423"/>
      <c r="F26" s="26"/>
      <c r="G26" s="4"/>
      <c r="H26" s="4"/>
      <c r="I26" s="4"/>
    </row>
    <row r="27" spans="1:13" ht="15" x14ac:dyDescent="0.2">
      <c r="A27" s="424" t="s">
        <v>1718</v>
      </c>
      <c r="B27" s="417"/>
      <c r="C27" s="426">
        <f>SUM(C19:C25)</f>
        <v>26648172</v>
      </c>
      <c r="D27" s="426">
        <f>SUM(D19:D25)</f>
        <v>25112648</v>
      </c>
      <c r="E27" s="426">
        <f>SUM(E19:E25)</f>
        <v>22723739</v>
      </c>
      <c r="F27" s="33"/>
      <c r="G27" s="33"/>
    </row>
    <row r="28" spans="1:13" ht="15" x14ac:dyDescent="0.2">
      <c r="A28" s="389"/>
      <c r="B28" s="417"/>
      <c r="C28" s="423"/>
      <c r="D28" s="423"/>
      <c r="E28" s="423"/>
      <c r="F28" s="33"/>
      <c r="G28" s="88"/>
    </row>
    <row r="29" spans="1:13" ht="15.75" x14ac:dyDescent="0.25">
      <c r="A29" s="427" t="s">
        <v>1525</v>
      </c>
      <c r="B29" s="417"/>
      <c r="C29" s="426">
        <f>SUM(C16-C27)</f>
        <v>1160038</v>
      </c>
      <c r="D29" s="426">
        <f>+D16-D27</f>
        <v>-1069691</v>
      </c>
      <c r="E29" s="426">
        <f>SUM(E16-E27)</f>
        <v>1612482</v>
      </c>
      <c r="F29" s="88"/>
      <c r="G29" s="26"/>
    </row>
    <row r="30" spans="1:13" ht="15" x14ac:dyDescent="0.2">
      <c r="A30" s="389"/>
      <c r="B30" s="417"/>
      <c r="C30" s="429"/>
      <c r="D30" s="430"/>
      <c r="E30" s="430"/>
      <c r="F30" s="26"/>
    </row>
    <row r="31" spans="1:13" ht="12.75" customHeight="1" x14ac:dyDescent="0.2">
      <c r="A31" s="389" t="s">
        <v>1583</v>
      </c>
      <c r="B31" s="417"/>
      <c r="C31" s="420">
        <v>0</v>
      </c>
      <c r="D31" s="420"/>
      <c r="E31" s="420">
        <v>0</v>
      </c>
    </row>
    <row r="32" spans="1:13" ht="14.25" customHeight="1" x14ac:dyDescent="0.2">
      <c r="A32" s="389"/>
      <c r="B32" s="417"/>
      <c r="C32" s="422"/>
      <c r="D32" s="431"/>
      <c r="E32" s="431"/>
    </row>
    <row r="33" spans="1:7" ht="16.5" thickBot="1" x14ac:dyDescent="0.3">
      <c r="A33" s="432" t="s">
        <v>1719</v>
      </c>
      <c r="B33" s="417"/>
      <c r="C33" s="433">
        <f>C29+C31</f>
        <v>1160038</v>
      </c>
      <c r="D33" s="433">
        <f>D29+D31</f>
        <v>-1069691</v>
      </c>
      <c r="E33" s="433">
        <f>E29+E31</f>
        <v>1612482</v>
      </c>
      <c r="G33" s="94"/>
    </row>
    <row r="34" spans="1:7" ht="15" x14ac:dyDescent="0.25">
      <c r="A34" s="101" t="s">
        <v>1584</v>
      </c>
      <c r="B34" s="102"/>
      <c r="C34" s="170"/>
      <c r="D34" s="98"/>
      <c r="E34" s="98"/>
      <c r="F34" s="94"/>
      <c r="G34" s="94"/>
    </row>
    <row r="35" spans="1:7" ht="15" x14ac:dyDescent="0.25">
      <c r="A35" s="101"/>
      <c r="B35" s="102"/>
      <c r="C35" s="98"/>
      <c r="D35" s="98"/>
      <c r="E35" s="98"/>
    </row>
    <row r="36" spans="1:7" ht="15" x14ac:dyDescent="0.25">
      <c r="A36" s="101"/>
      <c r="B36" s="102"/>
      <c r="C36" s="170"/>
      <c r="D36" s="92"/>
      <c r="E36" s="92"/>
    </row>
    <row r="37" spans="1:7" ht="14.25" x14ac:dyDescent="0.2">
      <c r="A37" s="87"/>
      <c r="B37" s="102"/>
      <c r="C37" s="102"/>
      <c r="D37" s="92"/>
      <c r="E37" s="92"/>
    </row>
    <row r="38" spans="1:7" s="5" customFormat="1" ht="22.5" customHeight="1" x14ac:dyDescent="0.2">
      <c r="A38" s="389" t="s">
        <v>1759</v>
      </c>
      <c r="B38" s="416"/>
      <c r="C38" s="416"/>
      <c r="D38" s="416"/>
      <c r="E38" s="12"/>
    </row>
    <row r="39" spans="1:7" ht="15" x14ac:dyDescent="0.2">
      <c r="A39" s="389" t="s">
        <v>1758</v>
      </c>
    </row>
    <row r="40" spans="1:7" x14ac:dyDescent="0.2">
      <c r="A40" s="11"/>
    </row>
    <row r="65" spans="13:13" x14ac:dyDescent="0.2">
      <c r="M65" t="s">
        <v>1471</v>
      </c>
    </row>
    <row r="230" spans="3:8" x14ac:dyDescent="0.2">
      <c r="C230" s="3">
        <f>3606052-128340</f>
        <v>3477712</v>
      </c>
      <c r="E230" s="2">
        <v>1111566</v>
      </c>
      <c r="F230">
        <f>4491558-1041525-128340</f>
        <v>3321693</v>
      </c>
      <c r="H230">
        <f>2340865-1041525-128340</f>
        <v>1171000</v>
      </c>
    </row>
    <row r="234" spans="3:8" x14ac:dyDescent="0.2">
      <c r="C234" s="3">
        <v>4917232</v>
      </c>
      <c r="E234" s="2">
        <f>C234</f>
        <v>4917232</v>
      </c>
      <c r="F234">
        <f>1041525+128340</f>
        <v>1169865</v>
      </c>
    </row>
    <row r="440" spans="2:2" x14ac:dyDescent="0.2">
      <c r="B440" s="3" t="s">
        <v>1543</v>
      </c>
    </row>
    <row r="508" ht="19.5" customHeight="1" x14ac:dyDescent="0.2"/>
    <row r="509" ht="270.75" customHeight="1" x14ac:dyDescent="0.2"/>
  </sheetData>
  <customSheetViews>
    <customSheetView guid="{2F1C2500-C7E9-11D7-BAB9-00065B3658C6}" showGridLines="0" showRuler="0">
      <selection activeCell="B30" sqref="B30"/>
      <pageMargins left="0.74803149606299213" right="0.74803149606299213" top="0.51181102362204722" bottom="0.51181102362204722" header="0.51181102362204722" footer="0.51181102362204722"/>
      <printOptions horizontalCentered="1"/>
      <pageSetup paperSize="9" orientation="portrait" horizontalDpi="4294967292" verticalDpi="4294967292" r:id="rId1"/>
      <headerFooter alignWithMargins="0"/>
    </customSheetView>
    <customSheetView guid="{16158AC0-BDC0-11D7-BABA-AD30328A5118}" showPageBreaks="1" showGridLines="0" printArea="1" showRuler="0">
      <selection activeCell="B30" sqref="B30"/>
      <pageMargins left="0.74803149606299213" right="0.74803149606299213" top="0.51181102362204722" bottom="0.51181102362204722" header="0.51181102362204722" footer="0.51181102362204722"/>
      <printOptions horizontalCentered="1"/>
      <pageSetup paperSize="9" orientation="portrait" horizontalDpi="4294967292" verticalDpi="4294967292" r:id="rId2"/>
      <headerFooter alignWithMargins="0"/>
    </customSheetView>
  </customSheetViews>
  <phoneticPr fontId="30" type="noConversion"/>
  <pageMargins left="0.39370078740157483" right="0.39370078740157483" top="0.74803149606299213" bottom="0.74803149606299213" header="0.31496062992125984" footer="0.31496062992125984"/>
  <pageSetup paperSize="9" scale="86" firstPageNumber="6" orientation="portrait" cellComments="asDisplayed" r:id="rId3"/>
  <headerFooter>
    <oddHeader>&amp;R&amp;G</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507"/>
  <sheetViews>
    <sheetView showGridLines="0" view="pageBreakPreview" zoomScaleNormal="100" zoomScaleSheetLayoutView="100" workbookViewId="0">
      <selection activeCell="A12" sqref="A12"/>
    </sheetView>
  </sheetViews>
  <sheetFormatPr defaultColWidth="8.85546875" defaultRowHeight="12.75" x14ac:dyDescent="0.2"/>
  <cols>
    <col min="1" max="1" width="33.140625" customWidth="1"/>
    <col min="2" max="2" width="24.140625" customWidth="1"/>
    <col min="3" max="3" width="18.28515625" customWidth="1"/>
    <col min="4" max="4" width="15.7109375" style="2" customWidth="1"/>
    <col min="5" max="5" width="17.5703125" style="2" customWidth="1"/>
    <col min="6" max="6" width="15.7109375" customWidth="1"/>
    <col min="7" max="7" width="9.28515625" bestFit="1" customWidth="1"/>
  </cols>
  <sheetData>
    <row r="1" spans="1:13" s="1" customFormat="1" ht="26.25" x14ac:dyDescent="0.2">
      <c r="A1" s="413" t="str">
        <f>+Data!B6</f>
        <v>Blind and Low Vision Education Network NZ</v>
      </c>
      <c r="D1" s="43"/>
      <c r="E1" s="43"/>
    </row>
    <row r="2" spans="1:13" ht="20.25" x14ac:dyDescent="0.3">
      <c r="A2" s="414" t="s">
        <v>214</v>
      </c>
    </row>
    <row r="3" spans="1:13" s="6" customFormat="1" ht="18" x14ac:dyDescent="0.2">
      <c r="A3" s="44" t="str">
        <f>'Comprehensive Income'!A3</f>
        <v>For the year ended 31 December 2023</v>
      </c>
    </row>
    <row r="4" spans="1:13" s="22" customFormat="1" ht="15" x14ac:dyDescent="0.2">
      <c r="A4" s="434"/>
      <c r="B4" s="434"/>
      <c r="C4" s="434"/>
      <c r="D4" s="434"/>
      <c r="E4" s="434"/>
    </row>
    <row r="5" spans="1:13" ht="15.75" x14ac:dyDescent="0.25">
      <c r="A5" s="389"/>
      <c r="B5" s="435"/>
      <c r="C5" s="435">
        <f>'Comprehensive Income'!C5</f>
        <v>2023</v>
      </c>
      <c r="D5" s="435">
        <f>'Comprehensive Income'!D5</f>
        <v>2023</v>
      </c>
      <c r="E5" s="435">
        <f>'Comprehensive Income'!E5</f>
        <v>2022</v>
      </c>
    </row>
    <row r="6" spans="1:13" ht="15.75" x14ac:dyDescent="0.25">
      <c r="A6" s="389"/>
      <c r="B6" s="436" t="s">
        <v>610</v>
      </c>
      <c r="C6" s="436" t="s">
        <v>606</v>
      </c>
      <c r="D6" s="436" t="s">
        <v>607</v>
      </c>
      <c r="E6" s="436" t="s">
        <v>606</v>
      </c>
    </row>
    <row r="7" spans="1:13" ht="15.75" x14ac:dyDescent="0.25">
      <c r="A7" s="389"/>
      <c r="B7" s="436"/>
      <c r="C7" s="436"/>
      <c r="D7" s="437" t="s">
        <v>226</v>
      </c>
      <c r="E7" s="436"/>
    </row>
    <row r="8" spans="1:13" ht="16.5" thickBot="1" x14ac:dyDescent="0.3">
      <c r="A8" s="389"/>
      <c r="B8" s="436"/>
      <c r="C8" s="436" t="s">
        <v>605</v>
      </c>
      <c r="D8" s="436" t="s">
        <v>605</v>
      </c>
      <c r="E8" s="436" t="s">
        <v>605</v>
      </c>
      <c r="G8" s="29"/>
    </row>
    <row r="9" spans="1:13" ht="15.75" x14ac:dyDescent="0.25">
      <c r="A9" s="438"/>
      <c r="B9" s="439"/>
      <c r="C9" s="439"/>
      <c r="D9" s="439"/>
      <c r="E9" s="439"/>
    </row>
    <row r="10" spans="1:13" ht="16.5" thickBot="1" x14ac:dyDescent="0.3">
      <c r="A10" s="427" t="s">
        <v>1513</v>
      </c>
      <c r="B10" s="389"/>
      <c r="C10" s="440">
        <f>+E16</f>
        <v>18136012</v>
      </c>
      <c r="D10" s="440">
        <f>17680028+1069691-D23</f>
        <v>18136012</v>
      </c>
      <c r="E10" s="440">
        <v>16267180</v>
      </c>
      <c r="F10" s="4"/>
      <c r="G10" s="106"/>
    </row>
    <row r="11" spans="1:13" ht="15" x14ac:dyDescent="0.2">
      <c r="A11" s="389"/>
      <c r="B11" s="389"/>
      <c r="C11" s="441"/>
      <c r="D11" s="441"/>
      <c r="E11" s="441"/>
    </row>
    <row r="12" spans="1:13" ht="15" x14ac:dyDescent="0.2">
      <c r="A12" s="389" t="s">
        <v>227</v>
      </c>
      <c r="B12" s="417"/>
      <c r="C12" s="441">
        <f>'Comprehensive Income'!C33</f>
        <v>1160038</v>
      </c>
      <c r="D12" s="442">
        <f>+'Comprehensive Income'!D33</f>
        <v>-1069691</v>
      </c>
      <c r="E12" s="441">
        <f>+'Comprehensive Income'!E33</f>
        <v>1612482</v>
      </c>
      <c r="H12" s="16" t="s">
        <v>781</v>
      </c>
    </row>
    <row r="13" spans="1:13" ht="15" x14ac:dyDescent="0.2">
      <c r="A13" s="389" t="s">
        <v>1517</v>
      </c>
      <c r="B13" s="417"/>
      <c r="C13" s="441"/>
      <c r="D13" s="441"/>
      <c r="E13" s="441"/>
      <c r="H13" s="5"/>
    </row>
    <row r="14" spans="1:13" ht="15" x14ac:dyDescent="0.2">
      <c r="A14" s="389" t="s">
        <v>228</v>
      </c>
      <c r="B14" s="417"/>
      <c r="C14" s="443">
        <f>'Codes allocation'!D1290</f>
        <v>112838</v>
      </c>
      <c r="D14" s="443">
        <f>'Codes allocation'!F1290</f>
        <v>0</v>
      </c>
      <c r="E14" s="441">
        <f>'Codes allocation'!H1290</f>
        <v>256350</v>
      </c>
      <c r="H14" s="5"/>
    </row>
    <row r="15" spans="1:13" ht="15" x14ac:dyDescent="0.2">
      <c r="A15" s="389"/>
      <c r="B15" s="417"/>
      <c r="C15" s="441"/>
      <c r="D15" s="441"/>
      <c r="E15" s="441"/>
    </row>
    <row r="16" spans="1:13" ht="16.5" thickBot="1" x14ac:dyDescent="0.3">
      <c r="A16" s="427" t="s">
        <v>1086</v>
      </c>
      <c r="B16" s="417"/>
      <c r="C16" s="444">
        <f>SUM(C10:C15)</f>
        <v>19408888</v>
      </c>
      <c r="D16" s="444">
        <f>SUM(D10:D15)</f>
        <v>17066321</v>
      </c>
      <c r="E16" s="444">
        <f>SUM(E10:E15)</f>
        <v>18136012</v>
      </c>
      <c r="M16" s="16" t="s">
        <v>781</v>
      </c>
    </row>
    <row r="17" spans="1:6" ht="15" x14ac:dyDescent="0.2">
      <c r="A17" s="389"/>
      <c r="B17" s="417"/>
      <c r="C17" s="445"/>
      <c r="D17" s="445"/>
      <c r="E17" s="445"/>
      <c r="F17" s="4"/>
    </row>
    <row r="18" spans="1:6" ht="15" x14ac:dyDescent="0.2">
      <c r="A18" s="389" t="s">
        <v>1635</v>
      </c>
      <c r="B18" s="417"/>
      <c r="C18" s="445">
        <f>+C16</f>
        <v>19408888</v>
      </c>
      <c r="D18" s="445">
        <f>+D16</f>
        <v>17066321</v>
      </c>
      <c r="E18" s="445">
        <f>+E16</f>
        <v>18136012</v>
      </c>
      <c r="F18" s="4"/>
    </row>
    <row r="19" spans="1:6" ht="15" x14ac:dyDescent="0.2">
      <c r="A19" s="389" t="s">
        <v>229</v>
      </c>
      <c r="B19" s="417"/>
      <c r="C19" s="445"/>
      <c r="D19" s="445"/>
      <c r="E19" s="445"/>
      <c r="F19" s="4"/>
    </row>
    <row r="20" spans="1:6" ht="15" x14ac:dyDescent="0.2">
      <c r="A20" s="389"/>
      <c r="B20" s="417"/>
      <c r="C20" s="445"/>
      <c r="D20" s="445"/>
      <c r="E20" s="445"/>
      <c r="F20" s="4"/>
    </row>
    <row r="21" spans="1:6" ht="15" x14ac:dyDescent="0.2">
      <c r="A21" s="389" t="s">
        <v>445</v>
      </c>
      <c r="B21" s="417"/>
      <c r="C21" s="445">
        <f>+E23</f>
        <v>613707</v>
      </c>
      <c r="D21" s="441">
        <f>E21</f>
        <v>616207</v>
      </c>
      <c r="E21" s="441">
        <v>616207</v>
      </c>
    </row>
    <row r="22" spans="1:6" ht="15" x14ac:dyDescent="0.2">
      <c r="A22" s="389" t="s">
        <v>446</v>
      </c>
      <c r="B22" s="417">
        <v>21</v>
      </c>
      <c r="C22" s="446">
        <f>+C23-C21</f>
        <v>-6300</v>
      </c>
      <c r="D22" s="446">
        <v>-2500</v>
      </c>
      <c r="E22" s="446">
        <v>-2500</v>
      </c>
    </row>
    <row r="23" spans="1:6" ht="15.75" thickBot="1" x14ac:dyDescent="0.25">
      <c r="A23" s="389" t="s">
        <v>447</v>
      </c>
      <c r="B23" s="417"/>
      <c r="C23" s="447">
        <f>+'Codes allocation'!D1266</f>
        <v>607407</v>
      </c>
      <c r="D23" s="447">
        <f>+E23</f>
        <v>613707</v>
      </c>
      <c r="E23" s="447">
        <f>+E21+E22</f>
        <v>613707</v>
      </c>
    </row>
    <row r="24" spans="1:6" ht="15.75" thickTop="1" x14ac:dyDescent="0.2">
      <c r="A24" s="448"/>
      <c r="B24" s="449"/>
      <c r="C24" s="450"/>
      <c r="D24" s="450"/>
      <c r="E24" s="450"/>
    </row>
    <row r="25" spans="1:6" ht="16.5" thickBot="1" x14ac:dyDescent="0.25">
      <c r="A25" s="451" t="s">
        <v>1086</v>
      </c>
      <c r="B25" s="449"/>
      <c r="C25" s="452">
        <f>+C16+C23</f>
        <v>20016295</v>
      </c>
      <c r="D25" s="452">
        <f>+D16+D23</f>
        <v>17680028</v>
      </c>
      <c r="E25" s="452">
        <f>+E16+E23</f>
        <v>18749719</v>
      </c>
    </row>
    <row r="26" spans="1:6" ht="13.5" thickTop="1" x14ac:dyDescent="0.2">
      <c r="A26" s="59"/>
      <c r="B26" s="59"/>
      <c r="C26" s="5"/>
      <c r="D26" s="5"/>
      <c r="E26" s="5"/>
    </row>
    <row r="27" spans="1:6" x14ac:dyDescent="0.2">
      <c r="A27" s="59"/>
      <c r="B27" s="59"/>
      <c r="C27" s="5"/>
      <c r="D27" s="5"/>
      <c r="E27" s="5"/>
    </row>
    <row r="28" spans="1:6" x14ac:dyDescent="0.2">
      <c r="A28" s="59"/>
      <c r="B28" s="59"/>
      <c r="C28" s="5"/>
      <c r="D28" s="5"/>
      <c r="E28" s="5"/>
    </row>
    <row r="29" spans="1:6" x14ac:dyDescent="0.2">
      <c r="A29" s="59"/>
      <c r="B29" s="59"/>
      <c r="C29" s="5"/>
      <c r="D29" s="5"/>
      <c r="E29" s="5"/>
    </row>
    <row r="30" spans="1:6" ht="14.25" customHeight="1" x14ac:dyDescent="0.2">
      <c r="A30" s="59"/>
      <c r="B30" s="59"/>
      <c r="C30" s="59"/>
      <c r="D30" s="59"/>
      <c r="E30" s="59"/>
    </row>
    <row r="31" spans="1:6" x14ac:dyDescent="0.2">
      <c r="A31" s="59"/>
      <c r="B31" s="59"/>
      <c r="C31" s="59"/>
      <c r="D31" s="59"/>
      <c r="E31" s="59"/>
    </row>
    <row r="32" spans="1:6" x14ac:dyDescent="0.2">
      <c r="A32" s="59"/>
      <c r="B32" s="59"/>
      <c r="C32" s="59"/>
      <c r="D32" s="59"/>
      <c r="E32" s="59"/>
    </row>
    <row r="33" spans="1:6" x14ac:dyDescent="0.2">
      <c r="A33" s="59"/>
      <c r="B33" s="59"/>
      <c r="C33" s="59"/>
      <c r="D33" s="59"/>
      <c r="E33" s="59"/>
    </row>
    <row r="34" spans="1:6" x14ac:dyDescent="0.2">
      <c r="A34" s="59"/>
      <c r="B34" s="59"/>
      <c r="C34" s="59"/>
      <c r="D34" s="59"/>
      <c r="E34" s="59"/>
    </row>
    <row r="35" spans="1:6" x14ac:dyDescent="0.2">
      <c r="A35" s="59"/>
      <c r="B35" s="59"/>
      <c r="C35" s="59"/>
      <c r="D35" s="59"/>
      <c r="E35" s="59"/>
    </row>
    <row r="36" spans="1:6" ht="23.25" customHeight="1" x14ac:dyDescent="0.2">
      <c r="A36" s="502" t="s">
        <v>1724</v>
      </c>
      <c r="B36" s="502"/>
      <c r="C36" s="502"/>
      <c r="D36" s="502"/>
      <c r="E36" s="502"/>
    </row>
    <row r="37" spans="1:6" hidden="1" x14ac:dyDescent="0.2">
      <c r="A37" s="502"/>
      <c r="B37" s="502"/>
      <c r="C37" s="502"/>
      <c r="D37" s="502"/>
      <c r="E37" s="502"/>
    </row>
    <row r="38" spans="1:6" x14ac:dyDescent="0.2">
      <c r="B38" s="89"/>
      <c r="C38" s="89"/>
      <c r="D38" s="89"/>
      <c r="E38" s="89"/>
    </row>
    <row r="39" spans="1:6" x14ac:dyDescent="0.2">
      <c r="A39" s="501"/>
      <c r="B39" s="501"/>
      <c r="C39" s="501"/>
      <c r="D39" s="501"/>
      <c r="E39" s="501"/>
    </row>
    <row r="40" spans="1:6" ht="20.25" customHeight="1" x14ac:dyDescent="0.2">
      <c r="A40" s="5"/>
    </row>
    <row r="41" spans="1:6" x14ac:dyDescent="0.2">
      <c r="A41" s="59"/>
      <c r="B41" s="59"/>
      <c r="C41" s="59"/>
      <c r="D41" s="60"/>
      <c r="E41" s="60"/>
      <c r="F41" s="61"/>
    </row>
    <row r="42" spans="1:6" x14ac:dyDescent="0.2">
      <c r="A42" s="59"/>
      <c r="B42" s="59"/>
      <c r="C42" s="59"/>
      <c r="D42" s="60"/>
      <c r="E42" s="60"/>
      <c r="F42" s="61"/>
    </row>
    <row r="43" spans="1:6" x14ac:dyDescent="0.2">
      <c r="A43" s="59"/>
      <c r="B43" s="59"/>
      <c r="C43" s="59"/>
      <c r="D43" s="60"/>
      <c r="E43" s="60"/>
      <c r="F43" s="61"/>
    </row>
    <row r="44" spans="1:6" x14ac:dyDescent="0.2">
      <c r="A44" s="59"/>
      <c r="B44" s="59"/>
      <c r="C44" s="59"/>
      <c r="D44" s="60"/>
      <c r="E44" s="60"/>
      <c r="F44" s="61"/>
    </row>
    <row r="45" spans="1:6" x14ac:dyDescent="0.2">
      <c r="A45" s="59"/>
      <c r="B45" s="59"/>
      <c r="C45" s="59"/>
      <c r="D45" s="60"/>
      <c r="E45" s="60"/>
      <c r="F45" s="61"/>
    </row>
    <row r="46" spans="1:6" x14ac:dyDescent="0.2">
      <c r="A46" s="59"/>
      <c r="B46" s="59"/>
      <c r="C46" s="59"/>
      <c r="D46" s="60"/>
      <c r="E46" s="60"/>
      <c r="F46" s="61"/>
    </row>
    <row r="47" spans="1:6" x14ac:dyDescent="0.2">
      <c r="A47" s="59"/>
      <c r="B47" s="59"/>
      <c r="C47" s="59"/>
      <c r="D47" s="60"/>
      <c r="E47" s="60"/>
      <c r="F47" s="61"/>
    </row>
    <row r="49" spans="1:13" x14ac:dyDescent="0.2">
      <c r="D49"/>
      <c r="E49"/>
    </row>
    <row r="51" spans="1:13" x14ac:dyDescent="0.2">
      <c r="B51" s="5"/>
      <c r="C51" s="5"/>
      <c r="D51" s="12"/>
      <c r="E51" s="12"/>
    </row>
    <row r="54" spans="1:13" x14ac:dyDescent="0.2">
      <c r="A54" s="13"/>
      <c r="B54" s="14"/>
      <c r="C54" s="10"/>
      <c r="D54" s="10"/>
      <c r="E54" s="10"/>
    </row>
    <row r="55" spans="1:13" x14ac:dyDescent="0.2">
      <c r="A55" s="11"/>
      <c r="B55" s="3"/>
      <c r="C55" s="2"/>
    </row>
    <row r="63" spans="1:13" x14ac:dyDescent="0.2">
      <c r="M63" t="s">
        <v>1471</v>
      </c>
    </row>
    <row r="228" spans="3:8" x14ac:dyDescent="0.2">
      <c r="C228">
        <f>3606052-128340</f>
        <v>3477712</v>
      </c>
      <c r="E228" s="2">
        <v>1111566</v>
      </c>
      <c r="F228">
        <f>4491558-1041525-128340</f>
        <v>3321693</v>
      </c>
      <c r="H228">
        <f>2340865-1041525-128340</f>
        <v>1171000</v>
      </c>
    </row>
    <row r="232" spans="3:8" x14ac:dyDescent="0.2">
      <c r="C232">
        <v>4917232</v>
      </c>
      <c r="E232" s="2">
        <f>C232</f>
        <v>4917232</v>
      </c>
      <c r="F232">
        <f>1041525+128340</f>
        <v>1169865</v>
      </c>
    </row>
    <row r="438" spans="2:2" x14ac:dyDescent="0.2">
      <c r="B438" t="s">
        <v>1543</v>
      </c>
    </row>
    <row r="506" ht="19.5" customHeight="1" x14ac:dyDescent="0.2"/>
    <row r="507" ht="270.75" customHeight="1" x14ac:dyDescent="0.2"/>
  </sheetData>
  <customSheetViews>
    <customSheetView guid="{2F1C2500-C7E9-11D7-BAB9-00065B3658C6}" showGridLines="0" showRuler="0">
      <selection activeCell="D25" sqref="D25"/>
      <pageMargins left="0.23622047244094491" right="0.23622047244094491" top="0.51181102362204722" bottom="0.51181102362204722" header="0.51181102362204722" footer="0.51181102362204722"/>
      <printOptions horizontalCentered="1"/>
      <pageSetup paperSize="9" orientation="portrait" verticalDpi="0" r:id="rId1"/>
      <headerFooter alignWithMargins="0"/>
    </customSheetView>
    <customSheetView guid="{16158AC0-BDC0-11D7-BABA-AD30328A5118}" showPageBreaks="1" showGridLines="0" printArea="1" showRuler="0">
      <selection activeCell="D25" sqref="D25"/>
      <pageMargins left="0.23622047244094491" right="0.23622047244094491" top="0.51181102362204722" bottom="0.51181102362204722" header="0.51181102362204722" footer="0.51181102362204722"/>
      <printOptions horizontalCentered="1"/>
      <pageSetup paperSize="9" orientation="portrait" verticalDpi="0" r:id="rId2"/>
      <headerFooter alignWithMargins="0"/>
    </customSheetView>
  </customSheetViews>
  <mergeCells count="2">
    <mergeCell ref="A39:E39"/>
    <mergeCell ref="A36:E37"/>
  </mergeCells>
  <phoneticPr fontId="30" type="noConversion"/>
  <pageMargins left="0.39370078740157483" right="0.39370078740157483" top="0.74803149606299213" bottom="0.74803149606299213" header="0.31496062992125984" footer="0.31496062992125984"/>
  <pageSetup paperSize="9" scale="89" firstPageNumber="6" orientation="portrait" cellComments="asDisplayed" r:id="rId3"/>
  <headerFooter>
    <oddHeader>&amp;R&amp;G</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M507"/>
  <sheetViews>
    <sheetView showGridLines="0" view="pageBreakPreview" topLeftCell="A23" zoomScaleNormal="100" zoomScaleSheetLayoutView="100" workbookViewId="0">
      <selection activeCell="A11" sqref="A11"/>
    </sheetView>
  </sheetViews>
  <sheetFormatPr defaultColWidth="8.85546875" defaultRowHeight="12.75" x14ac:dyDescent="0.2"/>
  <cols>
    <col min="1" max="1" width="42.28515625" customWidth="1"/>
    <col min="2" max="2" width="12.140625" style="3" customWidth="1"/>
    <col min="3" max="3" width="19.42578125" style="2" customWidth="1"/>
    <col min="4" max="4" width="16.28515625" style="2" customWidth="1"/>
    <col min="5" max="5" width="14.28515625" style="2" customWidth="1"/>
    <col min="6" max="6" width="10.5703125" bestFit="1" customWidth="1"/>
    <col min="9" max="9" width="9.42578125" bestFit="1" customWidth="1"/>
  </cols>
  <sheetData>
    <row r="1" spans="1:6" s="39" customFormat="1" ht="26.25" x14ac:dyDescent="0.4">
      <c r="A1" s="453" t="str">
        <f>+Data!B6</f>
        <v>Blind and Low Vision Education Network NZ</v>
      </c>
      <c r="B1" s="40"/>
      <c r="C1" s="41"/>
      <c r="D1" s="41"/>
      <c r="E1" s="41"/>
    </row>
    <row r="2" spans="1:6" ht="20.25" x14ac:dyDescent="0.3">
      <c r="A2" s="414" t="s">
        <v>773</v>
      </c>
      <c r="E2" s="176"/>
    </row>
    <row r="3" spans="1:6" s="6" customFormat="1" ht="18" x14ac:dyDescent="0.2">
      <c r="A3" s="6" t="str">
        <f>CONCATENATE("As at 31 December ",Data!B2)</f>
        <v>As at 31 December 2023</v>
      </c>
    </row>
    <row r="4" spans="1:6" s="5" customFormat="1" ht="15" x14ac:dyDescent="0.25">
      <c r="A4" s="269"/>
      <c r="B4" s="270"/>
      <c r="C4" s="271"/>
      <c r="D4" s="271"/>
      <c r="E4" s="271"/>
    </row>
    <row r="5" spans="1:6" s="15" customFormat="1" ht="15.75" x14ac:dyDescent="0.25">
      <c r="A5" s="389"/>
      <c r="B5" s="435"/>
      <c r="C5" s="435">
        <f>Data!B2</f>
        <v>2023</v>
      </c>
      <c r="D5" s="435">
        <f>C5</f>
        <v>2023</v>
      </c>
      <c r="E5" s="435">
        <f>C5-1</f>
        <v>2022</v>
      </c>
    </row>
    <row r="6" spans="1:6" s="15" customFormat="1" ht="15.75" x14ac:dyDescent="0.25">
      <c r="A6" s="389"/>
      <c r="B6" s="436" t="s">
        <v>610</v>
      </c>
      <c r="C6" s="436" t="s">
        <v>606</v>
      </c>
      <c r="D6" s="436" t="s">
        <v>607</v>
      </c>
      <c r="E6" s="436" t="s">
        <v>606</v>
      </c>
    </row>
    <row r="7" spans="1:6" s="15" customFormat="1" ht="24" customHeight="1" x14ac:dyDescent="0.25">
      <c r="A7" s="389"/>
      <c r="B7" s="436"/>
      <c r="C7" s="436"/>
      <c r="D7" s="437" t="s">
        <v>226</v>
      </c>
      <c r="E7" s="436"/>
    </row>
    <row r="8" spans="1:6" s="15" customFormat="1" ht="16.5" thickBot="1" x14ac:dyDescent="0.3">
      <c r="A8" s="389"/>
      <c r="B8" s="436"/>
      <c r="C8" s="436" t="s">
        <v>605</v>
      </c>
      <c r="D8" s="436" t="s">
        <v>605</v>
      </c>
      <c r="E8" s="436" t="s">
        <v>605</v>
      </c>
    </row>
    <row r="9" spans="1:6" ht="15" x14ac:dyDescent="0.2">
      <c r="A9" s="438"/>
      <c r="B9" s="454"/>
      <c r="C9" s="455"/>
      <c r="D9" s="455"/>
      <c r="E9" s="455"/>
    </row>
    <row r="10" spans="1:6" ht="15.75" x14ac:dyDescent="0.25">
      <c r="A10" s="427" t="s">
        <v>624</v>
      </c>
      <c r="B10" s="417"/>
      <c r="C10" s="456"/>
      <c r="D10" s="456"/>
      <c r="E10" s="456"/>
    </row>
    <row r="11" spans="1:6" ht="15" x14ac:dyDescent="0.2">
      <c r="A11" s="389" t="s">
        <v>640</v>
      </c>
      <c r="B11" s="417">
        <f>Notes!A157</f>
        <v>11</v>
      </c>
      <c r="C11" s="418">
        <f>Notes!F165</f>
        <v>206260</v>
      </c>
      <c r="D11" s="423">
        <f>Notes!G165</f>
        <v>2159441</v>
      </c>
      <c r="E11" s="420">
        <f>Notes!H165</f>
        <v>285191</v>
      </c>
    </row>
    <row r="12" spans="1:6" ht="15" x14ac:dyDescent="0.2">
      <c r="A12" s="389" t="s">
        <v>643</v>
      </c>
      <c r="B12" s="417">
        <f>Notes!A171</f>
        <v>12</v>
      </c>
      <c r="C12" s="418">
        <f>Notes!F185</f>
        <v>2089334</v>
      </c>
      <c r="D12" s="418">
        <f>Notes!G185</f>
        <v>1812210</v>
      </c>
      <c r="E12" s="420">
        <f>Notes!H181</f>
        <v>1812210</v>
      </c>
      <c r="F12" s="137"/>
    </row>
    <row r="13" spans="1:6" ht="15" x14ac:dyDescent="0.2">
      <c r="A13" s="389" t="s">
        <v>230</v>
      </c>
      <c r="B13" s="417"/>
      <c r="C13" s="418">
        <f>'Codes allocation'!D1153</f>
        <v>160141</v>
      </c>
      <c r="D13" s="418">
        <f>'Codes allocation'!F1153</f>
        <v>155747</v>
      </c>
      <c r="E13" s="418">
        <f>'Codes allocation'!H1153-2</f>
        <v>155747</v>
      </c>
    </row>
    <row r="14" spans="1:6" ht="15" x14ac:dyDescent="0.2">
      <c r="A14" s="389" t="s">
        <v>613</v>
      </c>
      <c r="B14" s="457"/>
      <c r="C14" s="418">
        <f>'Codes allocation'!D1155-3</f>
        <v>190787</v>
      </c>
      <c r="D14" s="418">
        <f>'Codes allocation'!F1155</f>
        <v>140600</v>
      </c>
      <c r="E14" s="418">
        <f>'Codes allocation'!H1155</f>
        <v>140600</v>
      </c>
      <c r="F14" s="33"/>
    </row>
    <row r="15" spans="1:6" ht="15" x14ac:dyDescent="0.2">
      <c r="A15" s="389" t="s">
        <v>614</v>
      </c>
      <c r="B15" s="417">
        <v>13</v>
      </c>
      <c r="C15" s="418">
        <f>'Codes allocation'!D1157</f>
        <v>3557</v>
      </c>
      <c r="D15" s="418">
        <f>'Codes allocation'!F1157</f>
        <v>3595</v>
      </c>
      <c r="E15" s="418">
        <f>'Codes allocation'!H1157</f>
        <v>3595</v>
      </c>
      <c r="F15" s="33"/>
    </row>
    <row r="16" spans="1:6" ht="15" x14ac:dyDescent="0.2">
      <c r="A16" s="389" t="s">
        <v>763</v>
      </c>
      <c r="B16" s="417">
        <f>Notes!A197</f>
        <v>14</v>
      </c>
      <c r="C16" s="418">
        <f>Notes!F202</f>
        <v>10616485</v>
      </c>
      <c r="D16" s="418">
        <f>Notes!G202</f>
        <v>6090750</v>
      </c>
      <c r="E16" s="418">
        <f>Notes!H202</f>
        <v>9090750</v>
      </c>
      <c r="F16" s="33"/>
    </row>
    <row r="17" spans="1:9" ht="15" x14ac:dyDescent="0.2">
      <c r="A17" s="389" t="s">
        <v>1720</v>
      </c>
      <c r="B17" s="417">
        <f>Notes!A330</f>
        <v>20</v>
      </c>
      <c r="C17" s="458">
        <f>Notes!H345*-1</f>
        <v>33280</v>
      </c>
      <c r="D17" s="459">
        <v>0</v>
      </c>
      <c r="E17" s="458">
        <f>Notes!H360*-1</f>
        <v>29946</v>
      </c>
      <c r="I17" s="137"/>
    </row>
    <row r="18" spans="1:9" ht="15" x14ac:dyDescent="0.2">
      <c r="A18" s="389"/>
      <c r="B18" s="417"/>
      <c r="C18" s="418">
        <f>SUM(C11:C17)</f>
        <v>13299844</v>
      </c>
      <c r="D18" s="423">
        <f>SUM(D11:D17)</f>
        <v>10362343</v>
      </c>
      <c r="E18" s="420">
        <f>SUM(E11:E17)</f>
        <v>11518039</v>
      </c>
      <c r="I18" s="93"/>
    </row>
    <row r="19" spans="1:9" ht="15" x14ac:dyDescent="0.2">
      <c r="A19" s="389"/>
      <c r="B19" s="417"/>
      <c r="C19" s="420"/>
      <c r="D19" s="423"/>
      <c r="E19" s="420"/>
    </row>
    <row r="20" spans="1:9" ht="15.75" x14ac:dyDescent="0.25">
      <c r="A20" s="427" t="s">
        <v>625</v>
      </c>
      <c r="B20" s="417"/>
      <c r="C20" s="420"/>
      <c r="D20" s="423"/>
      <c r="E20" s="420"/>
    </row>
    <row r="21" spans="1:9" ht="15" x14ac:dyDescent="0.2">
      <c r="A21" s="389" t="s">
        <v>642</v>
      </c>
      <c r="B21" s="417">
        <f>Notes!A263</f>
        <v>16</v>
      </c>
      <c r="C21" s="418">
        <f>+Notes!F274</f>
        <v>1938480</v>
      </c>
      <c r="D21" s="418">
        <f>+Notes!G274</f>
        <v>1421694</v>
      </c>
      <c r="E21" s="420">
        <f>Notes!H274</f>
        <v>1421694</v>
      </c>
      <c r="G21" s="137"/>
    </row>
    <row r="22" spans="1:9" ht="15" x14ac:dyDescent="0.2">
      <c r="A22" s="389" t="s">
        <v>231</v>
      </c>
      <c r="B22" s="417">
        <f>Notes!A287</f>
        <v>17</v>
      </c>
      <c r="C22" s="418">
        <f>+Notes!F293</f>
        <v>104234</v>
      </c>
      <c r="D22" s="418">
        <f>+Notes!G293</f>
        <v>68497</v>
      </c>
      <c r="E22" s="420">
        <f>Notes!H293+1</f>
        <v>68497</v>
      </c>
      <c r="G22" s="137"/>
    </row>
    <row r="23" spans="1:9" ht="15" x14ac:dyDescent="0.2">
      <c r="A23" s="389" t="s">
        <v>1518</v>
      </c>
      <c r="B23" s="417">
        <f>Notes!A295</f>
        <v>18</v>
      </c>
      <c r="C23" s="418">
        <f>+'Codes allocation'!D1193</f>
        <v>94308</v>
      </c>
      <c r="D23" s="418">
        <f>+'Codes allocation'!F1193</f>
        <v>38001</v>
      </c>
      <c r="E23" s="420">
        <f>'Codes allocation'!H1193</f>
        <v>94632</v>
      </c>
      <c r="G23" s="137"/>
    </row>
    <row r="24" spans="1:9" ht="15" x14ac:dyDescent="0.2">
      <c r="A24" s="389" t="s">
        <v>1514</v>
      </c>
      <c r="B24" s="417">
        <f>Notes!A312</f>
        <v>19</v>
      </c>
      <c r="C24" s="421">
        <f>+Notes!F326</f>
        <v>77370</v>
      </c>
      <c r="D24" s="421">
        <f>+Notes!G326</f>
        <v>77572</v>
      </c>
      <c r="E24" s="421">
        <f>Notes!H326</f>
        <v>77572</v>
      </c>
    </row>
    <row r="25" spans="1:9" ht="15" x14ac:dyDescent="0.2">
      <c r="A25" s="389" t="s">
        <v>1503</v>
      </c>
      <c r="B25" s="417">
        <f>Notes!A330</f>
        <v>20</v>
      </c>
      <c r="C25" s="460">
        <f>'Codes allocation'!E1181</f>
        <v>0</v>
      </c>
      <c r="D25" s="460">
        <v>0</v>
      </c>
      <c r="E25" s="421">
        <f>Notes!H359</f>
        <v>61596</v>
      </c>
    </row>
    <row r="26" spans="1:9" ht="15.75" x14ac:dyDescent="0.25">
      <c r="A26" s="432"/>
      <c r="B26" s="417"/>
      <c r="C26" s="426">
        <f>SUM(C21:C25)</f>
        <v>2214392</v>
      </c>
      <c r="D26" s="426">
        <f>SUM(D21:D25)</f>
        <v>1605764</v>
      </c>
      <c r="E26" s="426">
        <f>SUM(E21:E25)</f>
        <v>1723991</v>
      </c>
      <c r="F26" s="33"/>
    </row>
    <row r="27" spans="1:9" ht="15" x14ac:dyDescent="0.2">
      <c r="A27" s="389"/>
      <c r="B27" s="417"/>
      <c r="C27" s="423"/>
      <c r="D27" s="423"/>
      <c r="E27" s="423"/>
    </row>
    <row r="28" spans="1:9" ht="15.75" x14ac:dyDescent="0.25">
      <c r="A28" s="427" t="s">
        <v>232</v>
      </c>
      <c r="B28" s="417"/>
      <c r="C28" s="418">
        <f>C18-C26</f>
        <v>11085452</v>
      </c>
      <c r="D28" s="423">
        <f>D18-D26</f>
        <v>8756579</v>
      </c>
      <c r="E28" s="418">
        <f>E18-E26</f>
        <v>9794048</v>
      </c>
    </row>
    <row r="29" spans="1:9" ht="15" x14ac:dyDescent="0.2">
      <c r="A29" s="389"/>
      <c r="B29" s="417"/>
      <c r="C29" s="420"/>
      <c r="D29" s="423"/>
      <c r="E29" s="420"/>
    </row>
    <row r="30" spans="1:9" ht="14.25" customHeight="1" x14ac:dyDescent="0.25">
      <c r="A30" s="427" t="s">
        <v>775</v>
      </c>
      <c r="B30" s="417"/>
      <c r="C30" s="420"/>
      <c r="D30" s="423"/>
      <c r="E30" s="420"/>
    </row>
    <row r="31" spans="1:9" ht="15" hidden="1" x14ac:dyDescent="0.2">
      <c r="A31" s="389" t="s">
        <v>54</v>
      </c>
      <c r="B31" s="417"/>
      <c r="C31" s="420">
        <v>0</v>
      </c>
      <c r="D31" s="423">
        <v>0</v>
      </c>
      <c r="E31" s="420">
        <v>0</v>
      </c>
    </row>
    <row r="32" spans="1:9" ht="15" x14ac:dyDescent="0.2">
      <c r="A32" s="389" t="s">
        <v>653</v>
      </c>
      <c r="B32" s="417">
        <f>Notes!A211</f>
        <v>15</v>
      </c>
      <c r="C32" s="421">
        <f>Notes!E234</f>
        <v>9040107</v>
      </c>
      <c r="D32" s="423">
        <f>'Codes allocation'!F1198</f>
        <v>9009288</v>
      </c>
      <c r="E32" s="423">
        <f>Notes!H234</f>
        <v>9063700</v>
      </c>
      <c r="G32" s="137"/>
    </row>
    <row r="33" spans="1:5" ht="15" hidden="1" x14ac:dyDescent="0.2">
      <c r="A33" s="389" t="s">
        <v>768</v>
      </c>
      <c r="B33" s="417">
        <v>15</v>
      </c>
      <c r="C33" s="460">
        <f>+Notes!F206</f>
        <v>0</v>
      </c>
      <c r="D33" s="460">
        <v>0</v>
      </c>
      <c r="E33" s="460">
        <f>+Notes!H206</f>
        <v>0</v>
      </c>
    </row>
    <row r="34" spans="1:5" ht="15.75" x14ac:dyDescent="0.25">
      <c r="A34" s="432"/>
      <c r="B34" s="417"/>
      <c r="C34" s="461">
        <f>SUM(C31:C33)</f>
        <v>9040107</v>
      </c>
      <c r="D34" s="461">
        <f>SUM(D31:D33)</f>
        <v>9009288</v>
      </c>
      <c r="E34" s="426">
        <f>SUM(E31:E33)</f>
        <v>9063700</v>
      </c>
    </row>
    <row r="35" spans="1:5" ht="15" x14ac:dyDescent="0.2">
      <c r="A35" s="389"/>
      <c r="B35" s="417"/>
      <c r="C35" s="420"/>
      <c r="D35" s="423"/>
      <c r="E35" s="420"/>
    </row>
    <row r="36" spans="1:5" ht="15.75" x14ac:dyDescent="0.25">
      <c r="A36" s="427" t="s">
        <v>776</v>
      </c>
      <c r="B36" s="417"/>
      <c r="C36" s="420"/>
      <c r="D36" s="423"/>
      <c r="E36" s="420"/>
    </row>
    <row r="37" spans="1:5" ht="15" x14ac:dyDescent="0.2">
      <c r="A37" s="389" t="s">
        <v>924</v>
      </c>
      <c r="B37" s="417">
        <v>19</v>
      </c>
      <c r="C37" s="420">
        <f>+Notes!F327</f>
        <v>65708</v>
      </c>
      <c r="D37" s="420">
        <f>+Notes!G321</f>
        <v>85839</v>
      </c>
      <c r="E37" s="420">
        <f>Notes!H327</f>
        <v>85839</v>
      </c>
    </row>
    <row r="38" spans="1:5" ht="15" x14ac:dyDescent="0.2">
      <c r="A38" s="389" t="s">
        <v>1518</v>
      </c>
      <c r="B38" s="417">
        <f>Notes!A295</f>
        <v>18</v>
      </c>
      <c r="C38" s="458">
        <f>'Codes allocation'!D1194</f>
        <v>43556</v>
      </c>
      <c r="D38" s="460">
        <f>'Codes allocation'!F1194</f>
        <v>0</v>
      </c>
      <c r="E38" s="460">
        <f>'Codes allocation'!H1194</f>
        <v>22190</v>
      </c>
    </row>
    <row r="39" spans="1:5" ht="15.75" x14ac:dyDescent="0.25">
      <c r="A39" s="432"/>
      <c r="B39" s="417"/>
      <c r="C39" s="418">
        <f>SUM(C37:C38)</f>
        <v>109264</v>
      </c>
      <c r="D39" s="418">
        <f>SUM(D37:D38)</f>
        <v>85839</v>
      </c>
      <c r="E39" s="420">
        <f>SUM(E37:E38)</f>
        <v>108029</v>
      </c>
    </row>
    <row r="40" spans="1:5" ht="15" x14ac:dyDescent="0.2">
      <c r="A40" s="389"/>
      <c r="B40" s="417"/>
      <c r="C40" s="423"/>
      <c r="D40" s="423"/>
      <c r="E40" s="423"/>
    </row>
    <row r="41" spans="1:5" ht="16.5" thickBot="1" x14ac:dyDescent="0.3">
      <c r="A41" s="427" t="s">
        <v>627</v>
      </c>
      <c r="B41" s="417"/>
      <c r="C41" s="462">
        <f>C28+C34-C39</f>
        <v>20016295</v>
      </c>
      <c r="D41" s="463">
        <f>D28+D34-D39</f>
        <v>17680028</v>
      </c>
      <c r="E41" s="463">
        <f>E28+E34-E39</f>
        <v>18749719</v>
      </c>
    </row>
    <row r="42" spans="1:5" ht="15.75" thickTop="1" x14ac:dyDescent="0.2">
      <c r="A42" s="389"/>
      <c r="B42" s="417"/>
      <c r="C42" s="464"/>
      <c r="D42" s="464"/>
      <c r="E42" s="464"/>
    </row>
    <row r="43" spans="1:5" ht="15" x14ac:dyDescent="0.2">
      <c r="A43" s="389"/>
      <c r="B43" s="417"/>
      <c r="C43" s="464"/>
      <c r="D43" s="464"/>
      <c r="E43" s="464"/>
    </row>
    <row r="44" spans="1:5" ht="16.5" thickBot="1" x14ac:dyDescent="0.3">
      <c r="A44" s="427" t="s">
        <v>771</v>
      </c>
      <c r="B44" s="417"/>
      <c r="C44" s="462">
        <f>+Equity!C25</f>
        <v>20016295</v>
      </c>
      <c r="D44" s="463">
        <f>+Equity!D25</f>
        <v>17680028</v>
      </c>
      <c r="E44" s="463">
        <f>+Equity!E25</f>
        <v>18749719</v>
      </c>
    </row>
    <row r="45" spans="1:5" ht="15.75" thickTop="1" x14ac:dyDescent="0.2">
      <c r="A45" s="389"/>
      <c r="B45" s="417"/>
      <c r="C45" s="464"/>
      <c r="D45" s="464"/>
      <c r="E45" s="464"/>
    </row>
    <row r="46" spans="1:5" ht="15" hidden="1" x14ac:dyDescent="0.2">
      <c r="A46" s="389"/>
      <c r="B46" s="417"/>
      <c r="C46" s="446"/>
      <c r="D46" s="446"/>
      <c r="E46" s="446"/>
    </row>
    <row r="47" spans="1:5" ht="15" hidden="1" x14ac:dyDescent="0.2">
      <c r="A47" s="389"/>
      <c r="B47" s="417"/>
      <c r="C47" s="464"/>
      <c r="D47" s="464"/>
      <c r="E47" s="464"/>
    </row>
    <row r="48" spans="1:5" ht="15" x14ac:dyDescent="0.2">
      <c r="A48" s="389"/>
      <c r="B48" s="417"/>
      <c r="C48" s="464"/>
      <c r="D48" s="464"/>
      <c r="E48" s="464"/>
    </row>
    <row r="49" spans="1:5" ht="15" x14ac:dyDescent="0.2">
      <c r="A49" s="389"/>
      <c r="B49" s="417"/>
      <c r="C49" s="464"/>
      <c r="D49" s="464"/>
      <c r="E49" s="464"/>
    </row>
    <row r="50" spans="1:5" ht="15" x14ac:dyDescent="0.2">
      <c r="A50" s="389"/>
      <c r="B50" s="417"/>
      <c r="C50" s="445"/>
      <c r="D50" s="445"/>
      <c r="E50" s="445"/>
    </row>
    <row r="51" spans="1:5" ht="15" x14ac:dyDescent="0.2">
      <c r="A51" s="389" t="s">
        <v>1761</v>
      </c>
      <c r="B51" s="417"/>
      <c r="C51" s="445"/>
      <c r="D51" s="464"/>
      <c r="E51" s="445"/>
    </row>
    <row r="52" spans="1:5" ht="18" customHeight="1" x14ac:dyDescent="0.2">
      <c r="A52" s="389" t="s">
        <v>1760</v>
      </c>
      <c r="C52" s="220"/>
      <c r="D52" s="220"/>
      <c r="E52" s="220"/>
    </row>
    <row r="57" spans="1:5" s="5" customFormat="1" x14ac:dyDescent="0.2">
      <c r="B57" s="175"/>
      <c r="C57" s="12"/>
      <c r="D57" s="12"/>
      <c r="E57" s="12"/>
    </row>
    <row r="60" spans="1:5" s="15" customFormat="1" x14ac:dyDescent="0.2">
      <c r="A60" s="13"/>
      <c r="B60" s="13"/>
      <c r="C60" s="13"/>
      <c r="D60" s="13"/>
      <c r="E60" s="10"/>
    </row>
    <row r="65" spans="13:13" x14ac:dyDescent="0.2">
      <c r="M65" t="s">
        <v>1471</v>
      </c>
    </row>
    <row r="228" spans="3:8" x14ac:dyDescent="0.2">
      <c r="C228" s="2">
        <f>3606052-128340</f>
        <v>3477712</v>
      </c>
      <c r="E228" s="2">
        <v>1111566</v>
      </c>
      <c r="F228">
        <f>4491558-1041525-128340</f>
        <v>3321693</v>
      </c>
      <c r="H228">
        <f>2340865-1041525-128340</f>
        <v>1171000</v>
      </c>
    </row>
    <row r="232" spans="3:8" x14ac:dyDescent="0.2">
      <c r="C232" s="2">
        <v>4917232</v>
      </c>
      <c r="E232" s="2">
        <f>C232</f>
        <v>4917232</v>
      </c>
      <c r="F232">
        <f>1041525+128340</f>
        <v>1169865</v>
      </c>
    </row>
    <row r="438" spans="2:2" x14ac:dyDescent="0.2">
      <c r="B438" s="3" t="s">
        <v>1543</v>
      </c>
    </row>
    <row r="506" ht="19.5" customHeight="1" x14ac:dyDescent="0.2"/>
    <row r="507" ht="270.75" customHeight="1" x14ac:dyDescent="0.2"/>
  </sheetData>
  <customSheetViews>
    <customSheetView guid="{2F1C2500-C7E9-11D7-BAB9-00065B3658C6}" showGridLines="0" showRuler="0">
      <selection activeCell="F13" sqref="F13"/>
      <pageMargins left="0.74803149606299213" right="0.74803149606299213" top="0.51181102362204722" bottom="0.51181102362204722" header="0.51181102362204722" footer="0.51181102362204722"/>
      <printOptions horizontalCentered="1"/>
      <pageSetup paperSize="9" orientation="portrait" verticalDpi="0" r:id="rId1"/>
      <headerFooter alignWithMargins="0"/>
    </customSheetView>
    <customSheetView guid="{16158AC0-BDC0-11D7-BABA-AD30328A5118}" showPageBreaks="1" showGridLines="0" printArea="1" showRuler="0">
      <selection activeCell="F13" sqref="F13"/>
      <pageMargins left="0.74803149606299213" right="0.74803149606299213" top="0.51181102362204722" bottom="0.51181102362204722" header="0.51181102362204722" footer="0.51181102362204722"/>
      <printOptions horizontalCentered="1"/>
      <pageSetup paperSize="9" orientation="portrait" verticalDpi="0" r:id="rId2"/>
      <headerFooter alignWithMargins="0"/>
    </customSheetView>
  </customSheetViews>
  <phoneticPr fontId="30" type="noConversion"/>
  <conditionalFormatting sqref="C24:E24">
    <cfRule type="cellIs" dxfId="2" priority="2" stopIfTrue="1" operator="notEqual">
      <formula>#REF!</formula>
    </cfRule>
  </conditionalFormatting>
  <conditionalFormatting sqref="E12 C21:D21 E21:E23 E25">
    <cfRule type="cellIs" dxfId="1" priority="49" stopIfTrue="1" operator="notEqual">
      <formula>#REF!</formula>
    </cfRule>
  </conditionalFormatting>
  <conditionalFormatting sqref="I18">
    <cfRule type="cellIs" dxfId="0" priority="1" stopIfTrue="1" operator="notEqual">
      <formula>#REF!</formula>
    </cfRule>
  </conditionalFormatting>
  <pageMargins left="0.39370078740157483" right="0.39370078740157483" top="0.74803149606299213" bottom="0.74803149606299213" header="0.31496062992125984" footer="0.31496062992125984"/>
  <pageSetup paperSize="9" scale="89" firstPageNumber="6" orientation="portrait" cellComments="asDisplayed" r:id="rId3"/>
  <headerFooter>
    <oddHeader>&amp;R&amp;G</oddHeader>
    <oddFooter>&amp;RPage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R603"/>
  <sheetViews>
    <sheetView showGridLines="0" view="pageBreakPreview" zoomScaleNormal="85" zoomScaleSheetLayoutView="100" workbookViewId="0">
      <selection activeCell="C34" sqref="C34"/>
    </sheetView>
  </sheetViews>
  <sheetFormatPr defaultRowHeight="12.75" x14ac:dyDescent="0.2"/>
  <cols>
    <col min="1" max="1" width="54" customWidth="1"/>
    <col min="2" max="2" width="8.140625" customWidth="1"/>
    <col min="3" max="3" width="14.42578125" style="2" customWidth="1"/>
    <col min="4" max="4" width="15.28515625" style="2" customWidth="1"/>
    <col min="5" max="5" width="16.140625" style="2" customWidth="1"/>
    <col min="6" max="8" width="13.42578125" customWidth="1"/>
    <col min="9" max="9" width="15" customWidth="1"/>
    <col min="10" max="10" width="14.7109375" customWidth="1"/>
    <col min="11" max="16" width="13.42578125" customWidth="1"/>
    <col min="17" max="17" width="9.85546875" bestFit="1" customWidth="1"/>
    <col min="18" max="18" width="13.85546875" bestFit="1" customWidth="1"/>
    <col min="22" max="22" width="9.85546875" bestFit="1" customWidth="1"/>
  </cols>
  <sheetData>
    <row r="1" spans="1:18" s="39" customFormat="1" ht="26.25" x14ac:dyDescent="0.25">
      <c r="A1" s="413" t="s">
        <v>662</v>
      </c>
      <c r="B1" s="42"/>
      <c r="C1" s="40"/>
      <c r="D1" s="41"/>
      <c r="E1" s="41"/>
      <c r="G1" s="101"/>
      <c r="H1" s="123"/>
      <c r="I1" s="69"/>
      <c r="J1" s="69"/>
      <c r="K1" s="69"/>
    </row>
    <row r="2" spans="1:18" ht="23.25" x14ac:dyDescent="0.35">
      <c r="A2" s="414" t="s">
        <v>912</v>
      </c>
      <c r="B2" s="7"/>
      <c r="F2" s="116"/>
      <c r="G2" s="101"/>
      <c r="J2" s="2"/>
      <c r="K2" s="2"/>
    </row>
    <row r="3" spans="1:18" s="6" customFormat="1" ht="18" customHeight="1" x14ac:dyDescent="0.2">
      <c r="A3" s="180" t="str">
        <f>CONCATENATE("For the year ended 31 December ",Data!B2)</f>
        <v>For the year ended 31 December 2023</v>
      </c>
      <c r="B3" s="180"/>
    </row>
    <row r="4" spans="1:18" s="6" customFormat="1" ht="12.75" customHeight="1" x14ac:dyDescent="0.2">
      <c r="A4" s="272"/>
      <c r="B4" s="272"/>
      <c r="C4" s="272"/>
      <c r="D4" s="272"/>
      <c r="E4" s="272"/>
    </row>
    <row r="5" spans="1:18" ht="15.75" x14ac:dyDescent="0.25">
      <c r="A5" s="389"/>
      <c r="B5" s="389"/>
      <c r="C5" s="435">
        <f>Data!B2</f>
        <v>2023</v>
      </c>
      <c r="D5" s="435">
        <f>C5</f>
        <v>2023</v>
      </c>
      <c r="E5" s="435">
        <f>C5-1</f>
        <v>2022</v>
      </c>
    </row>
    <row r="6" spans="1:18" ht="31.5" x14ac:dyDescent="0.25">
      <c r="A6" s="389"/>
      <c r="B6" s="435" t="s">
        <v>233</v>
      </c>
      <c r="C6" s="436" t="s">
        <v>606</v>
      </c>
      <c r="D6" s="436" t="s">
        <v>234</v>
      </c>
      <c r="E6" s="436" t="s">
        <v>606</v>
      </c>
      <c r="M6" s="503"/>
      <c r="N6" s="503"/>
      <c r="O6" s="503"/>
      <c r="P6" s="503"/>
      <c r="Q6" s="503"/>
      <c r="R6" s="503"/>
    </row>
    <row r="7" spans="1:18" ht="16.5" thickBot="1" x14ac:dyDescent="0.3">
      <c r="A7" s="389"/>
      <c r="B7" s="389"/>
      <c r="C7" s="436" t="s">
        <v>605</v>
      </c>
      <c r="D7" s="436" t="s">
        <v>605</v>
      </c>
      <c r="E7" s="436" t="s">
        <v>605</v>
      </c>
      <c r="M7" s="503"/>
      <c r="N7" s="503"/>
      <c r="O7" s="503"/>
      <c r="P7" s="503"/>
      <c r="Q7" s="503"/>
      <c r="R7" s="503"/>
    </row>
    <row r="8" spans="1:18" ht="15.75" x14ac:dyDescent="0.25">
      <c r="A8" s="465" t="s">
        <v>235</v>
      </c>
      <c r="B8" s="466"/>
      <c r="C8" s="467"/>
      <c r="D8" s="467"/>
      <c r="E8" s="467"/>
      <c r="F8" s="61"/>
      <c r="I8" t="s">
        <v>781</v>
      </c>
      <c r="M8" s="503"/>
      <c r="N8" s="503"/>
      <c r="O8" s="503"/>
      <c r="P8" s="503"/>
      <c r="Q8" s="503"/>
      <c r="R8" s="503"/>
    </row>
    <row r="9" spans="1:18" ht="15" x14ac:dyDescent="0.2">
      <c r="A9" s="404" t="s">
        <v>191</v>
      </c>
      <c r="B9" s="404"/>
      <c r="C9" s="442">
        <f>'Cashflow Workpaper'!D30</f>
        <v>11183311.98</v>
      </c>
      <c r="D9" s="442">
        <f>'Cashflow Workpaper'!E30</f>
        <v>9862692</v>
      </c>
      <c r="E9" s="431">
        <v>9557243</v>
      </c>
      <c r="F9" s="61"/>
      <c r="J9" s="181"/>
      <c r="K9" s="26"/>
      <c r="M9" s="503"/>
      <c r="N9" s="503"/>
      <c r="O9" s="503"/>
      <c r="P9" s="503"/>
      <c r="Q9" s="503"/>
      <c r="R9" s="503"/>
    </row>
    <row r="10" spans="1:18" ht="15" x14ac:dyDescent="0.2">
      <c r="A10" s="404" t="s">
        <v>236</v>
      </c>
      <c r="B10" s="404"/>
      <c r="C10" s="442">
        <f>'Cashflow Workpaper'!D50</f>
        <v>384944.46</v>
      </c>
      <c r="D10" s="442">
        <f>'Cashflow Workpaper'!E50</f>
        <v>169850</v>
      </c>
      <c r="E10" s="431">
        <v>-17337</v>
      </c>
      <c r="F10" s="61"/>
      <c r="I10" t="s">
        <v>781</v>
      </c>
      <c r="J10" s="181"/>
      <c r="K10" s="26"/>
      <c r="M10" s="503"/>
      <c r="N10" s="503"/>
      <c r="O10" s="503"/>
      <c r="P10" s="503"/>
      <c r="Q10" s="503"/>
      <c r="R10" s="503"/>
    </row>
    <row r="11" spans="1:18" ht="12.75" customHeight="1" x14ac:dyDescent="0.2">
      <c r="A11" s="468" t="s">
        <v>1762</v>
      </c>
      <c r="B11" s="468"/>
      <c r="C11" s="442">
        <f>'Cashflow Workpaper'!D80</f>
        <v>-4394</v>
      </c>
      <c r="D11" s="442">
        <f>'Cashflow Workpaper'!E72</f>
        <v>0</v>
      </c>
      <c r="E11" s="431">
        <v>105252</v>
      </c>
      <c r="F11" s="61"/>
      <c r="J11" s="181"/>
      <c r="K11" s="26"/>
      <c r="M11" s="503"/>
      <c r="N11" s="503"/>
      <c r="O11" s="503"/>
      <c r="P11" s="503"/>
      <c r="Q11" s="503"/>
      <c r="R11" s="503"/>
    </row>
    <row r="12" spans="1:18" ht="12.75" customHeight="1" x14ac:dyDescent="0.2">
      <c r="A12" s="404" t="s">
        <v>237</v>
      </c>
      <c r="B12" s="389"/>
      <c r="C12" s="442">
        <f>'Cashflow Workpaper'!D100</f>
        <v>-4772259</v>
      </c>
      <c r="D12" s="442">
        <f>'Cashflow Workpaper'!E100</f>
        <v>-5219076</v>
      </c>
      <c r="E12" s="431">
        <v>-4283438</v>
      </c>
      <c r="F12" s="61"/>
      <c r="J12" s="181"/>
      <c r="K12" s="26"/>
      <c r="M12" s="503"/>
      <c r="N12" s="503"/>
      <c r="O12" s="503"/>
      <c r="P12" s="503"/>
      <c r="Q12" s="503"/>
      <c r="R12" s="503"/>
    </row>
    <row r="13" spans="1:18" ht="12.75" customHeight="1" x14ac:dyDescent="0.2">
      <c r="A13" s="404" t="s">
        <v>238</v>
      </c>
      <c r="B13" s="389"/>
      <c r="C13" s="442">
        <f>'Cashflow Workpaper'!D105</f>
        <v>-5135044.4400000013</v>
      </c>
      <c r="D13" s="442">
        <f>'Cashflow Workpaper'!E105</f>
        <v>-4737822</v>
      </c>
      <c r="E13" s="431">
        <v>-3624450</v>
      </c>
      <c r="F13" s="61"/>
      <c r="J13" s="181"/>
      <c r="K13" s="26"/>
      <c r="M13" s="503"/>
      <c r="N13" s="503"/>
      <c r="O13" s="503"/>
      <c r="P13" s="503"/>
      <c r="Q13" s="503"/>
      <c r="R13" s="503"/>
    </row>
    <row r="14" spans="1:18" ht="12.75" hidden="1" customHeight="1" x14ac:dyDescent="0.2">
      <c r="A14" s="404" t="s">
        <v>1222</v>
      </c>
      <c r="B14" s="389"/>
      <c r="C14" s="442"/>
      <c r="D14" s="442"/>
      <c r="E14" s="431"/>
      <c r="F14" s="61"/>
      <c r="J14" s="181"/>
      <c r="K14" s="26"/>
      <c r="M14" s="503"/>
      <c r="N14" s="503"/>
      <c r="O14" s="503"/>
      <c r="P14" s="503"/>
      <c r="Q14" s="503"/>
      <c r="R14" s="503"/>
    </row>
    <row r="15" spans="1:18" ht="12.75" customHeight="1" x14ac:dyDescent="0.2">
      <c r="A15" s="404" t="s">
        <v>239</v>
      </c>
      <c r="B15" s="389"/>
      <c r="C15" s="442">
        <f>'Cashflow Workpaper'!D120</f>
        <v>-14478</v>
      </c>
      <c r="D15" s="442">
        <f>'Cashflow Workpaper'!E120</f>
        <v>-630</v>
      </c>
      <c r="E15" s="431">
        <v>-14752</v>
      </c>
      <c r="F15" s="61"/>
      <c r="J15" s="181"/>
      <c r="K15" s="26"/>
      <c r="M15" s="503"/>
      <c r="N15" s="503"/>
      <c r="O15" s="503"/>
      <c r="P15" s="503"/>
      <c r="Q15" s="503"/>
      <c r="R15" s="503"/>
    </row>
    <row r="16" spans="1:18" ht="12.75" customHeight="1" x14ac:dyDescent="0.2">
      <c r="A16" s="389" t="s">
        <v>259</v>
      </c>
      <c r="B16" s="389"/>
      <c r="C16" s="442">
        <f>'Cashflow Workpaper'!D130</f>
        <v>335713</v>
      </c>
      <c r="D16" s="442">
        <f>'Cashflow Workpaper'!E130</f>
        <v>90000</v>
      </c>
      <c r="E16" s="431">
        <v>98483</v>
      </c>
      <c r="F16" s="61"/>
      <c r="J16" s="181"/>
      <c r="K16" s="26"/>
      <c r="M16" s="503"/>
      <c r="N16" s="503"/>
      <c r="O16" s="503"/>
      <c r="P16" s="503"/>
      <c r="Q16" s="503"/>
      <c r="R16" s="503"/>
    </row>
    <row r="17" spans="1:18" ht="15" x14ac:dyDescent="0.2">
      <c r="A17" s="469"/>
      <c r="B17" s="469"/>
      <c r="C17" s="442"/>
      <c r="D17" s="442"/>
      <c r="E17" s="442"/>
      <c r="F17" s="61"/>
      <c r="M17" s="503"/>
      <c r="N17" s="503"/>
      <c r="O17" s="503"/>
      <c r="P17" s="503"/>
      <c r="Q17" s="503"/>
      <c r="R17" s="503"/>
    </row>
    <row r="18" spans="1:18" ht="15" x14ac:dyDescent="0.2">
      <c r="A18" s="470" t="s">
        <v>1722</v>
      </c>
      <c r="B18" s="471"/>
      <c r="C18" s="472">
        <f>SUM(C9:C16)</f>
        <v>1977794</v>
      </c>
      <c r="D18" s="472">
        <f>SUM(D9:D16)</f>
        <v>165014</v>
      </c>
      <c r="E18" s="472">
        <f>SUM(E9:E16)</f>
        <v>1821001</v>
      </c>
      <c r="F18" s="61"/>
      <c r="M18" s="503"/>
      <c r="N18" s="503"/>
      <c r="O18" s="503"/>
      <c r="P18" s="503"/>
      <c r="Q18" s="503"/>
      <c r="R18" s="503"/>
    </row>
    <row r="19" spans="1:18" ht="15" x14ac:dyDescent="0.2">
      <c r="A19" s="389"/>
      <c r="B19" s="389"/>
      <c r="C19" s="442"/>
      <c r="D19" s="442"/>
      <c r="E19" s="442"/>
      <c r="F19" s="94"/>
      <c r="M19" s="503"/>
      <c r="N19" s="503"/>
      <c r="O19" s="503"/>
      <c r="P19" s="503"/>
      <c r="Q19" s="503"/>
      <c r="R19" s="503"/>
    </row>
    <row r="20" spans="1:18" ht="15.75" x14ac:dyDescent="0.25">
      <c r="A20" s="427" t="s">
        <v>0</v>
      </c>
      <c r="B20" s="432"/>
      <c r="C20" s="442"/>
      <c r="D20" s="442"/>
      <c r="E20" s="442"/>
      <c r="F20" s="94"/>
      <c r="M20" s="503"/>
      <c r="N20" s="503"/>
      <c r="O20" s="503"/>
      <c r="P20" s="503"/>
      <c r="Q20" s="503"/>
      <c r="R20" s="503"/>
    </row>
    <row r="21" spans="1:18" ht="12.75" hidden="1" customHeight="1" x14ac:dyDescent="0.2">
      <c r="A21" s="404" t="s">
        <v>1</v>
      </c>
      <c r="B21" s="389"/>
      <c r="C21" s="442">
        <f>'Cashflow Workpaper'!D180</f>
        <v>0</v>
      </c>
      <c r="D21" s="442">
        <f>'Cashflow Workpaper'!E180</f>
        <v>0</v>
      </c>
      <c r="E21" s="431">
        <v>0</v>
      </c>
      <c r="G21" s="181"/>
      <c r="H21" s="26"/>
      <c r="M21" s="503"/>
      <c r="N21" s="503"/>
      <c r="O21" s="503"/>
      <c r="P21" s="503"/>
      <c r="Q21" s="503"/>
      <c r="R21" s="503"/>
    </row>
    <row r="22" spans="1:18" ht="15" x14ac:dyDescent="0.2">
      <c r="A22" s="404" t="s">
        <v>2</v>
      </c>
      <c r="B22" s="389"/>
      <c r="C22" s="442">
        <f>'Cashflow Workpaper'!D190</f>
        <v>-617400</v>
      </c>
      <c r="D22" s="442">
        <f>'Cashflow Workpaper'!E190</f>
        <v>0</v>
      </c>
      <c r="E22" s="431">
        <v>-1922805</v>
      </c>
      <c r="G22" s="181"/>
      <c r="H22" s="26"/>
      <c r="M22" s="503"/>
      <c r="N22" s="503"/>
      <c r="O22" s="503"/>
      <c r="P22" s="503"/>
      <c r="Q22" s="503"/>
      <c r="R22" s="503"/>
    </row>
    <row r="23" spans="1:18" ht="15" x14ac:dyDescent="0.2">
      <c r="A23" s="468" t="s">
        <v>4</v>
      </c>
      <c r="B23" s="389"/>
      <c r="C23" s="442">
        <f>'Cashflow Workpaper'!D210</f>
        <v>-1525735</v>
      </c>
      <c r="D23" s="442">
        <f>'Cashflow Workpaper'!E210</f>
        <v>0</v>
      </c>
      <c r="E23" s="431">
        <v>-1562718</v>
      </c>
      <c r="G23" s="181"/>
      <c r="H23" s="26"/>
      <c r="M23" s="503"/>
      <c r="N23" s="503"/>
      <c r="O23" s="503"/>
      <c r="P23" s="503"/>
      <c r="Q23" s="503"/>
      <c r="R23" s="503"/>
    </row>
    <row r="24" spans="1:18" ht="12.75" hidden="1" customHeight="1" x14ac:dyDescent="0.2">
      <c r="A24" s="468" t="s">
        <v>3</v>
      </c>
      <c r="B24" s="389"/>
      <c r="C24" s="442">
        <f>'Cashflow Workpaper'!D192</f>
        <v>0</v>
      </c>
      <c r="D24" s="442">
        <f>'Cashflow Workpaper'!E192</f>
        <v>0</v>
      </c>
      <c r="E24" s="442">
        <f>'Cashflow Workpaper'!F192</f>
        <v>0</v>
      </c>
      <c r="F24" s="61"/>
      <c r="K24" s="26"/>
      <c r="M24" s="503"/>
      <c r="N24" s="503"/>
      <c r="O24" s="503"/>
      <c r="P24" s="503"/>
      <c r="Q24" s="503"/>
      <c r="R24" s="503"/>
    </row>
    <row r="25" spans="1:18" ht="12.75" hidden="1" customHeight="1" x14ac:dyDescent="0.2">
      <c r="A25" s="389" t="s">
        <v>1470</v>
      </c>
      <c r="B25" s="389"/>
      <c r="C25" s="442">
        <v>0</v>
      </c>
      <c r="D25" s="442">
        <f>'Cashflow Workpaper'!E193</f>
        <v>0</v>
      </c>
      <c r="E25" s="442">
        <f>'Cashflow Workpaper'!F193</f>
        <v>0</v>
      </c>
      <c r="G25" s="181"/>
      <c r="H25" s="26"/>
      <c r="M25" s="503"/>
      <c r="N25" s="503"/>
      <c r="O25" s="503"/>
      <c r="P25" s="503"/>
      <c r="Q25" s="503"/>
      <c r="R25" s="503"/>
    </row>
    <row r="26" spans="1:18" ht="15" x14ac:dyDescent="0.2">
      <c r="A26" s="473"/>
      <c r="B26" s="473"/>
      <c r="C26" s="474"/>
      <c r="D26" s="474"/>
      <c r="E26" s="474"/>
      <c r="M26" s="503"/>
      <c r="N26" s="503"/>
      <c r="O26" s="503"/>
      <c r="P26" s="503"/>
      <c r="Q26" s="503"/>
      <c r="R26" s="503"/>
    </row>
    <row r="27" spans="1:18" ht="15" x14ac:dyDescent="0.2">
      <c r="A27" s="389" t="s">
        <v>1721</v>
      </c>
      <c r="B27" s="389"/>
      <c r="C27" s="475">
        <f>SUM(C21:C26)</f>
        <v>-2143135</v>
      </c>
      <c r="D27" s="475">
        <f>SUM(D21:D26)</f>
        <v>0</v>
      </c>
      <c r="E27" s="475">
        <f>SUM(E21:E26)</f>
        <v>-3485523</v>
      </c>
      <c r="M27" s="503"/>
      <c r="N27" s="503"/>
      <c r="O27" s="503"/>
      <c r="P27" s="503"/>
      <c r="Q27" s="503"/>
      <c r="R27" s="503"/>
    </row>
    <row r="28" spans="1:18" ht="15" x14ac:dyDescent="0.2">
      <c r="A28" s="389"/>
      <c r="B28" s="389"/>
      <c r="C28" s="431"/>
      <c r="D28" s="431"/>
      <c r="E28" s="431"/>
      <c r="M28" s="503"/>
      <c r="N28" s="503"/>
      <c r="O28" s="503"/>
      <c r="P28" s="503"/>
      <c r="Q28" s="503"/>
      <c r="R28" s="503"/>
    </row>
    <row r="29" spans="1:18" ht="15.75" x14ac:dyDescent="0.25">
      <c r="A29" s="427" t="s">
        <v>5</v>
      </c>
      <c r="B29" s="432"/>
      <c r="C29" s="442"/>
      <c r="D29" s="442"/>
      <c r="E29" s="442"/>
      <c r="H29" s="179"/>
      <c r="I29" s="179"/>
      <c r="J29" s="179"/>
      <c r="K29" s="179"/>
      <c r="L29" s="179"/>
      <c r="M29" s="179"/>
    </row>
    <row r="30" spans="1:18" ht="14.25" customHeight="1" x14ac:dyDescent="0.2">
      <c r="A30" s="476" t="s">
        <v>1585</v>
      </c>
      <c r="B30" s="476"/>
      <c r="C30" s="442">
        <f>'Cashflow Workpaper'!D230</f>
        <v>112838</v>
      </c>
      <c r="D30" s="442">
        <f>'Cashflow Workpaper'!E230</f>
        <v>0</v>
      </c>
      <c r="E30" s="442">
        <v>256350</v>
      </c>
      <c r="H30" s="179"/>
      <c r="I30" s="179"/>
      <c r="J30" s="179"/>
      <c r="K30" s="179"/>
      <c r="L30" s="179"/>
      <c r="M30" s="179"/>
    </row>
    <row r="31" spans="1:18" ht="12.75" hidden="1" customHeight="1" x14ac:dyDescent="0.2">
      <c r="A31" s="389" t="s">
        <v>951</v>
      </c>
      <c r="B31" s="389"/>
      <c r="C31" s="442">
        <f>'Cashflow Workpaper'!D231</f>
        <v>0</v>
      </c>
      <c r="D31" s="442" t="s">
        <v>622</v>
      </c>
      <c r="E31" s="477" t="s">
        <v>622</v>
      </c>
      <c r="H31" s="179"/>
      <c r="I31" s="179"/>
      <c r="J31" s="179"/>
      <c r="K31" s="118"/>
      <c r="L31" s="179"/>
      <c r="M31" s="179"/>
    </row>
    <row r="32" spans="1:18" ht="12.75" hidden="1" customHeight="1" x14ac:dyDescent="0.2">
      <c r="A32" s="389" t="s">
        <v>7</v>
      </c>
      <c r="B32" s="389"/>
      <c r="C32" s="442">
        <f>'Cashflow Workpaper'!D232</f>
        <v>0</v>
      </c>
      <c r="D32" s="442" t="s">
        <v>622</v>
      </c>
      <c r="E32" s="442" t="s">
        <v>622</v>
      </c>
      <c r="H32" s="179"/>
      <c r="I32" s="179"/>
      <c r="J32" s="179"/>
      <c r="K32" s="118"/>
      <c r="L32" s="179"/>
      <c r="M32" s="179"/>
    </row>
    <row r="33" spans="1:13" ht="12.75" hidden="1" customHeight="1" x14ac:dyDescent="0.2">
      <c r="A33" s="404" t="s">
        <v>8</v>
      </c>
      <c r="B33" s="389"/>
      <c r="C33" s="442">
        <f>'Cashflow Workpaper'!D233</f>
        <v>0</v>
      </c>
      <c r="D33" s="442" t="s">
        <v>622</v>
      </c>
      <c r="E33" s="442" t="s">
        <v>622</v>
      </c>
      <c r="H33" s="179" t="s">
        <v>781</v>
      </c>
      <c r="I33" s="179"/>
      <c r="J33" s="179"/>
      <c r="K33" s="179"/>
      <c r="L33" s="179"/>
      <c r="M33" s="179"/>
    </row>
    <row r="34" spans="1:13" ht="15" x14ac:dyDescent="0.2">
      <c r="A34" s="404" t="s">
        <v>1515</v>
      </c>
      <c r="B34" s="389"/>
      <c r="C34" s="442">
        <f>'Cashflow Workpaper'!D272</f>
        <v>33280</v>
      </c>
      <c r="D34" s="442">
        <v>0</v>
      </c>
      <c r="E34" s="442">
        <v>40925</v>
      </c>
      <c r="H34" s="179"/>
      <c r="I34" s="179"/>
      <c r="J34" s="179"/>
      <c r="K34" s="179"/>
      <c r="L34" s="179"/>
      <c r="M34" s="179"/>
    </row>
    <row r="35" spans="1:13" ht="15" x14ac:dyDescent="0.2">
      <c r="A35" s="404" t="s">
        <v>6</v>
      </c>
      <c r="B35" s="389"/>
      <c r="C35" s="478">
        <f>'Cashflow Workpaper'!D250</f>
        <v>-59708</v>
      </c>
      <c r="D35" s="478">
        <f>'Cashflow Workpaper'!E250</f>
        <v>0</v>
      </c>
      <c r="E35" s="477">
        <v>-59593</v>
      </c>
      <c r="H35" s="179"/>
      <c r="I35" s="179"/>
      <c r="J35" s="179"/>
      <c r="K35" s="179"/>
      <c r="L35" s="179"/>
      <c r="M35" s="179"/>
    </row>
    <row r="36" spans="1:13" ht="15" x14ac:dyDescent="0.2">
      <c r="A36" s="389"/>
      <c r="B36" s="389"/>
      <c r="C36" s="479">
        <f>SUM(C30:C35)</f>
        <v>86410</v>
      </c>
      <c r="D36" s="479">
        <f>SUM(D30:D35)</f>
        <v>0</v>
      </c>
      <c r="E36" s="479">
        <f>SUM(E30:E35)</f>
        <v>237682</v>
      </c>
      <c r="G36" s="94"/>
      <c r="H36" s="119"/>
      <c r="I36" s="119"/>
      <c r="J36" s="179"/>
      <c r="K36" s="179"/>
      <c r="L36" s="179"/>
      <c r="M36" s="179"/>
    </row>
    <row r="37" spans="1:13" ht="15" x14ac:dyDescent="0.2">
      <c r="A37" s="389"/>
      <c r="B37" s="389"/>
      <c r="C37" s="442"/>
      <c r="D37" s="442"/>
      <c r="E37" s="442"/>
      <c r="H37" s="179"/>
      <c r="I37" s="179"/>
      <c r="J37" s="179"/>
      <c r="K37" s="179"/>
      <c r="L37" s="179"/>
      <c r="M37" s="179"/>
    </row>
    <row r="38" spans="1:13" ht="12.75" customHeight="1" x14ac:dyDescent="0.2">
      <c r="A38" s="483" t="s">
        <v>9</v>
      </c>
      <c r="B38" s="484"/>
      <c r="C38" s="485">
        <f>C18+C27+C36</f>
        <v>-78931</v>
      </c>
      <c r="D38" s="485">
        <f>D18+D27+D36</f>
        <v>165014</v>
      </c>
      <c r="E38" s="485">
        <f>E18+E27+E36</f>
        <v>-1426840</v>
      </c>
      <c r="G38" s="94"/>
      <c r="H38" s="119"/>
      <c r="I38" s="179"/>
      <c r="J38" s="179"/>
      <c r="K38" s="179"/>
      <c r="L38" s="179"/>
      <c r="M38" s="179"/>
    </row>
    <row r="39" spans="1:13" ht="13.5" customHeight="1" thickBot="1" x14ac:dyDescent="0.25">
      <c r="A39" s="486"/>
      <c r="B39" s="487"/>
      <c r="C39" s="488"/>
      <c r="D39" s="488"/>
      <c r="E39" s="488"/>
      <c r="F39" s="94"/>
      <c r="H39" s="179"/>
      <c r="I39" s="179"/>
      <c r="J39" s="179"/>
      <c r="K39" s="179"/>
      <c r="L39" s="179"/>
      <c r="M39" s="179"/>
    </row>
    <row r="40" spans="1:13" ht="15.75" thickTop="1" x14ac:dyDescent="0.2">
      <c r="A40" s="489"/>
      <c r="B40" s="489"/>
      <c r="C40" s="442"/>
      <c r="D40" s="442"/>
      <c r="E40" s="442"/>
      <c r="H40" s="179"/>
      <c r="I40" s="179"/>
      <c r="J40" s="179"/>
      <c r="K40" s="179"/>
      <c r="L40" s="179"/>
      <c r="M40" s="179"/>
    </row>
    <row r="41" spans="1:13" ht="15" x14ac:dyDescent="0.2">
      <c r="A41" s="489"/>
      <c r="B41" s="489"/>
      <c r="C41" s="442"/>
      <c r="D41" s="442"/>
      <c r="E41" s="442"/>
      <c r="G41" s="504"/>
      <c r="H41" s="504"/>
      <c r="I41" s="504"/>
      <c r="J41" s="179"/>
      <c r="K41" s="179"/>
      <c r="L41" s="179"/>
      <c r="M41" s="179"/>
    </row>
    <row r="42" spans="1:13" ht="30" x14ac:dyDescent="0.2">
      <c r="A42" s="489" t="s">
        <v>10</v>
      </c>
      <c r="B42" s="490">
        <v>11</v>
      </c>
      <c r="C42" s="442">
        <f>+E45</f>
        <v>285191</v>
      </c>
      <c r="D42" s="442">
        <f>'Cashflow Workpaper'!E330</f>
        <v>1994427</v>
      </c>
      <c r="E42" s="442">
        <v>1712031</v>
      </c>
      <c r="G42" s="504"/>
      <c r="H42" s="504"/>
      <c r="I42" s="504"/>
      <c r="J42" s="179"/>
      <c r="K42" s="179"/>
      <c r="L42" s="179"/>
      <c r="M42" s="179"/>
    </row>
    <row r="43" spans="1:13" ht="15" x14ac:dyDescent="0.2">
      <c r="A43" s="489"/>
      <c r="B43" s="489"/>
      <c r="C43" s="442"/>
      <c r="D43" s="442"/>
      <c r="E43" s="442"/>
      <c r="F43" s="61"/>
      <c r="G43" s="504"/>
      <c r="H43" s="504"/>
      <c r="I43" s="504"/>
      <c r="K43" s="179"/>
      <c r="L43" s="179"/>
      <c r="M43" s="179"/>
    </row>
    <row r="44" spans="1:13" ht="12.75" customHeight="1" x14ac:dyDescent="0.2">
      <c r="A44" s="491" t="s">
        <v>11</v>
      </c>
      <c r="B44" s="484"/>
      <c r="C44" s="442"/>
      <c r="D44" s="442"/>
      <c r="E44" s="442"/>
      <c r="F44" s="61"/>
      <c r="G44" s="49"/>
      <c r="H44" s="49"/>
      <c r="I44" s="49"/>
      <c r="J44" s="121"/>
      <c r="K44" s="179"/>
      <c r="L44" s="179"/>
      <c r="M44" s="179"/>
    </row>
    <row r="45" spans="1:13" ht="13.5" customHeight="1" thickBot="1" x14ac:dyDescent="0.25">
      <c r="A45" s="491"/>
      <c r="B45" s="490">
        <v>11</v>
      </c>
      <c r="C45" s="492">
        <f>'Financial Position'!C11</f>
        <v>206260</v>
      </c>
      <c r="D45" s="492">
        <f>'Financial Position'!D11</f>
        <v>2159441</v>
      </c>
      <c r="E45" s="492">
        <f>'Financial Position'!E11</f>
        <v>285191</v>
      </c>
      <c r="F45" s="296" t="str">
        <f>IF(C38+C42-C45=0,"bal",C38+C42-C45)</f>
        <v>bal</v>
      </c>
      <c r="G45" s="234" t="str">
        <f>IF(D38+D42-D45=0,"bal",D38+D42-D45)</f>
        <v>bal</v>
      </c>
      <c r="H45" s="135" t="str">
        <f>IF(E38+E42-E45=0,"bal",E38+E42-E45)</f>
        <v>bal</v>
      </c>
      <c r="I45" s="232"/>
      <c r="K45" s="179"/>
      <c r="L45" s="179"/>
      <c r="M45" s="179"/>
    </row>
    <row r="46" spans="1:13" ht="15.75" x14ac:dyDescent="0.25">
      <c r="A46" s="432"/>
      <c r="B46" s="432"/>
      <c r="C46" s="445"/>
      <c r="D46" s="445"/>
      <c r="E46" s="445"/>
      <c r="F46" s="61"/>
      <c r="G46" s="49"/>
      <c r="H46" s="49"/>
      <c r="I46" s="233"/>
      <c r="K46" s="179"/>
      <c r="L46" s="179"/>
      <c r="M46" s="179"/>
    </row>
    <row r="47" spans="1:13" ht="15.75" x14ac:dyDescent="0.25">
      <c r="A47" s="432"/>
      <c r="B47" s="432"/>
      <c r="C47" s="431"/>
      <c r="D47" s="431"/>
      <c r="E47" s="431"/>
      <c r="K47" s="179"/>
      <c r="L47" s="179"/>
      <c r="M47" s="179"/>
    </row>
    <row r="48" spans="1:13" ht="15.75" x14ac:dyDescent="0.25">
      <c r="A48" s="432"/>
      <c r="B48" s="432"/>
      <c r="C48" s="431"/>
      <c r="D48" s="431"/>
      <c r="E48" s="431"/>
    </row>
    <row r="49" spans="1:13" ht="12.75" customHeight="1" x14ac:dyDescent="0.2">
      <c r="A49" s="480" t="s">
        <v>1723</v>
      </c>
      <c r="B49" s="480"/>
      <c r="C49" s="480"/>
      <c r="D49" s="480"/>
      <c r="E49" s="480"/>
      <c r="G49" s="503"/>
      <c r="H49" s="503"/>
      <c r="I49" s="503"/>
      <c r="J49" s="503"/>
    </row>
    <row r="50" spans="1:13" ht="15" x14ac:dyDescent="0.2">
      <c r="A50" s="480"/>
      <c r="B50" s="480"/>
      <c r="C50" s="480"/>
      <c r="D50" s="480"/>
      <c r="E50" s="480"/>
      <c r="G50" s="503"/>
      <c r="H50" s="503"/>
      <c r="I50" s="503"/>
      <c r="J50" s="503"/>
      <c r="K50" s="179"/>
      <c r="L50" s="179"/>
      <c r="M50" s="179"/>
    </row>
    <row r="51" spans="1:13" ht="15" x14ac:dyDescent="0.2">
      <c r="A51" s="480"/>
      <c r="B51" s="480"/>
      <c r="C51" s="480"/>
      <c r="D51" s="480"/>
      <c r="E51" s="480"/>
      <c r="G51" s="503"/>
      <c r="H51" s="503"/>
      <c r="I51" s="503"/>
      <c r="J51" s="503"/>
      <c r="K51" s="179"/>
      <c r="L51" s="179"/>
      <c r="M51" s="179"/>
    </row>
    <row r="52" spans="1:13" ht="15.75" x14ac:dyDescent="0.25">
      <c r="A52" s="432"/>
      <c r="B52" s="432"/>
      <c r="C52" s="464"/>
      <c r="D52" s="464"/>
      <c r="E52" s="464"/>
      <c r="G52" s="503"/>
      <c r="H52" s="503"/>
      <c r="I52" s="503"/>
      <c r="J52" s="503"/>
      <c r="K52" s="179"/>
      <c r="L52" s="179"/>
      <c r="M52" s="179"/>
    </row>
    <row r="53" spans="1:13" ht="15.75" x14ac:dyDescent="0.25">
      <c r="A53" s="432"/>
      <c r="B53" s="432"/>
      <c r="C53" s="464"/>
      <c r="D53" s="464"/>
      <c r="E53" s="464"/>
      <c r="K53" s="179"/>
      <c r="L53" s="179"/>
      <c r="M53" s="179"/>
    </row>
    <row r="54" spans="1:13" ht="12.75" customHeight="1" x14ac:dyDescent="0.25">
      <c r="A54" s="481" t="s">
        <v>1764</v>
      </c>
      <c r="B54" s="432"/>
      <c r="C54" s="464"/>
      <c r="D54" s="464"/>
      <c r="E54" s="464"/>
      <c r="G54" s="503"/>
      <c r="H54" s="503"/>
      <c r="I54" s="503"/>
      <c r="J54" s="503"/>
      <c r="K54" s="179"/>
      <c r="L54" s="179"/>
      <c r="M54" s="179"/>
    </row>
    <row r="55" spans="1:13" ht="15.75" x14ac:dyDescent="0.25">
      <c r="A55" s="389" t="s">
        <v>1763</v>
      </c>
      <c r="B55" s="432"/>
      <c r="C55" s="464"/>
      <c r="D55" s="445"/>
      <c r="E55" s="445"/>
      <c r="G55" s="503"/>
      <c r="H55" s="503"/>
      <c r="I55" s="503"/>
      <c r="J55" s="503"/>
      <c r="K55" s="179"/>
      <c r="L55" s="179"/>
      <c r="M55" s="179"/>
    </row>
    <row r="56" spans="1:13" ht="12.75" customHeight="1" x14ac:dyDescent="0.2">
      <c r="A56" s="389"/>
      <c r="B56" s="389"/>
      <c r="C56" s="464"/>
      <c r="D56" s="464"/>
      <c r="E56" s="464"/>
      <c r="G56" s="503"/>
      <c r="H56" s="503"/>
      <c r="I56" s="503"/>
      <c r="J56" s="503"/>
      <c r="K56" s="179"/>
      <c r="L56" s="179"/>
      <c r="M56" s="179"/>
    </row>
    <row r="57" spans="1:13" ht="27.6" customHeight="1" x14ac:dyDescent="0.2">
      <c r="B57" s="481"/>
      <c r="C57" s="464"/>
      <c r="D57" s="464"/>
      <c r="E57" s="464"/>
      <c r="G57" s="503"/>
      <c r="H57" s="503"/>
      <c r="I57" s="503"/>
      <c r="J57" s="503"/>
      <c r="K57" s="179"/>
      <c r="L57" s="179"/>
      <c r="M57" s="179"/>
    </row>
    <row r="58" spans="1:13" ht="15" x14ac:dyDescent="0.2">
      <c r="A58" s="482"/>
      <c r="B58" s="482"/>
      <c r="C58" s="482"/>
      <c r="D58" s="482"/>
      <c r="E58" s="482"/>
      <c r="H58" s="124"/>
      <c r="I58" s="124"/>
      <c r="J58" s="124"/>
      <c r="K58" s="179"/>
      <c r="L58" s="179"/>
      <c r="M58" s="179"/>
    </row>
    <row r="59" spans="1:13" s="16" customFormat="1" ht="21" customHeight="1" x14ac:dyDescent="0.2">
      <c r="C59" s="122"/>
      <c r="D59" s="122"/>
      <c r="E59" s="122"/>
      <c r="H59" s="179"/>
      <c r="I59" s="179"/>
      <c r="J59" s="179"/>
      <c r="K59" s="179"/>
      <c r="L59" s="179"/>
      <c r="M59" s="179"/>
    </row>
    <row r="60" spans="1:13" ht="12.75" customHeight="1" x14ac:dyDescent="0.2">
      <c r="A60" s="16"/>
      <c r="B60" s="16"/>
      <c r="C60" s="122"/>
      <c r="D60" s="122"/>
      <c r="E60" s="122"/>
      <c r="F60" s="16"/>
      <c r="G60" s="16"/>
      <c r="H60" s="179"/>
      <c r="I60" s="179"/>
      <c r="J60" s="179"/>
      <c r="K60" s="179"/>
      <c r="L60" s="179"/>
      <c r="M60" s="179"/>
    </row>
    <row r="61" spans="1:13" ht="14.25" x14ac:dyDescent="0.2">
      <c r="A61" s="16"/>
      <c r="B61" s="16"/>
      <c r="C61" s="122"/>
      <c r="D61" s="122"/>
      <c r="E61" s="122"/>
      <c r="F61" s="16"/>
      <c r="G61" s="16"/>
      <c r="H61" s="179"/>
      <c r="I61" s="179"/>
      <c r="J61" s="179"/>
      <c r="K61" s="179"/>
      <c r="L61" s="179"/>
      <c r="M61" s="179"/>
    </row>
    <row r="64" spans="1:13" x14ac:dyDescent="0.2">
      <c r="L64" t="s">
        <v>1471</v>
      </c>
    </row>
    <row r="228" spans="2:7" x14ac:dyDescent="0.2">
      <c r="B228">
        <f>3606052-128340</f>
        <v>3477712</v>
      </c>
      <c r="D228" s="2">
        <v>1111566</v>
      </c>
      <c r="E228" s="2">
        <f>4491558-1041525-128340</f>
        <v>3321693</v>
      </c>
      <c r="G228">
        <f>2340865-1041525-128340</f>
        <v>1171000</v>
      </c>
    </row>
    <row r="232" spans="2:7" x14ac:dyDescent="0.2">
      <c r="B232">
        <v>4917232</v>
      </c>
      <c r="D232" s="2">
        <f>B232</f>
        <v>4917232</v>
      </c>
      <c r="E232" s="2">
        <f>1041525+128340</f>
        <v>1169865</v>
      </c>
    </row>
    <row r="438" spans="1:1" x14ac:dyDescent="0.2">
      <c r="A438" t="s">
        <v>1543</v>
      </c>
    </row>
    <row r="506" spans="3:9" ht="19.5" customHeight="1" x14ac:dyDescent="0.2"/>
    <row r="507" spans="3:9" ht="270.75" customHeight="1" x14ac:dyDescent="0.2"/>
    <row r="508" spans="3:9" x14ac:dyDescent="0.2">
      <c r="C508"/>
      <c r="D508"/>
      <c r="E508"/>
      <c r="H508" s="114"/>
      <c r="I508" s="114"/>
    </row>
    <row r="591" spans="3:9" x14ac:dyDescent="0.2">
      <c r="C591"/>
      <c r="D591"/>
      <c r="E591"/>
      <c r="H591" s="61"/>
      <c r="I591" s="61"/>
    </row>
    <row r="592" spans="3:9" x14ac:dyDescent="0.2">
      <c r="C592"/>
      <c r="D592"/>
      <c r="E592"/>
      <c r="H592" s="61"/>
      <c r="I592" s="61"/>
    </row>
    <row r="593" spans="3:9" x14ac:dyDescent="0.2">
      <c r="C593"/>
      <c r="D593"/>
      <c r="E593"/>
      <c r="H593" s="61"/>
      <c r="I593" s="61"/>
    </row>
    <row r="594" spans="3:9" x14ac:dyDescent="0.2">
      <c r="C594"/>
      <c r="D594"/>
      <c r="E594"/>
      <c r="H594" s="61"/>
      <c r="I594" s="61"/>
    </row>
    <row r="595" spans="3:9" x14ac:dyDescent="0.2">
      <c r="C595"/>
      <c r="D595"/>
      <c r="E595"/>
      <c r="H595" s="61"/>
      <c r="I595" s="61"/>
    </row>
    <row r="596" spans="3:9" x14ac:dyDescent="0.2">
      <c r="C596"/>
      <c r="D596"/>
      <c r="E596"/>
      <c r="H596" s="61"/>
      <c r="I596" s="61"/>
    </row>
    <row r="597" spans="3:9" x14ac:dyDescent="0.2">
      <c r="C597"/>
      <c r="D597"/>
      <c r="E597"/>
      <c r="H597" s="61"/>
      <c r="I597" s="61"/>
    </row>
    <row r="598" spans="3:9" x14ac:dyDescent="0.2">
      <c r="C598"/>
      <c r="D598"/>
      <c r="E598"/>
      <c r="H598" s="61"/>
      <c r="I598" s="61"/>
    </row>
    <row r="599" spans="3:9" x14ac:dyDescent="0.2">
      <c r="C599"/>
      <c r="D599"/>
      <c r="E599"/>
      <c r="H599" s="61"/>
      <c r="I599" s="61"/>
    </row>
    <row r="600" spans="3:9" x14ac:dyDescent="0.2">
      <c r="C600"/>
      <c r="D600"/>
      <c r="E600"/>
      <c r="H600" s="61"/>
      <c r="I600" s="61"/>
    </row>
    <row r="601" spans="3:9" x14ac:dyDescent="0.2">
      <c r="C601"/>
      <c r="D601"/>
      <c r="E601"/>
      <c r="H601" s="61"/>
      <c r="I601" s="61"/>
    </row>
    <row r="602" spans="3:9" x14ac:dyDescent="0.2">
      <c r="C602"/>
      <c r="D602"/>
      <c r="E602"/>
      <c r="H602" s="61"/>
      <c r="I602" s="61"/>
    </row>
    <row r="603" spans="3:9" x14ac:dyDescent="0.2">
      <c r="C603"/>
      <c r="D603"/>
      <c r="E603"/>
      <c r="H603" s="61"/>
      <c r="I603" s="61"/>
    </row>
  </sheetData>
  <mergeCells count="4">
    <mergeCell ref="G54:J57"/>
    <mergeCell ref="G49:J52"/>
    <mergeCell ref="G41:I43"/>
    <mergeCell ref="M6:R28"/>
  </mergeCells>
  <phoneticPr fontId="0" type="noConversion"/>
  <pageMargins left="0.39370078740157483" right="0.39370078740157483" top="0.74803149606299213" bottom="0.74803149606299213" header="0.31496062992125984" footer="0.31496062992125984"/>
  <pageSetup paperSize="9" scale="88" firstPageNumber="6" orientation="portrait" cellComments="asDisplayed" r:id="rId1"/>
  <headerFooter>
    <oddHeader>&amp;R&amp;G</oddHeader>
    <oddFooter>&amp;RPage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C346"/>
  <sheetViews>
    <sheetView view="pageBreakPreview" zoomScaleNormal="100" zoomScaleSheetLayoutView="100" workbookViewId="0">
      <selection activeCell="O9" sqref="O9"/>
    </sheetView>
  </sheetViews>
  <sheetFormatPr defaultColWidth="9.140625" defaultRowHeight="12.75" x14ac:dyDescent="0.2"/>
  <cols>
    <col min="1" max="1" width="2.7109375" style="237" customWidth="1"/>
    <col min="2" max="2" width="61.7109375" style="238" customWidth="1"/>
    <col min="3" max="3" width="41.7109375" style="238" customWidth="1"/>
    <col min="4" max="16384" width="9.140625" style="237"/>
  </cols>
  <sheetData>
    <row r="1" spans="2:3" ht="18" x14ac:dyDescent="0.2">
      <c r="B1" s="235" t="s">
        <v>662</v>
      </c>
      <c r="C1" s="236" t="s">
        <v>1586</v>
      </c>
    </row>
    <row r="2" spans="2:3" ht="18" x14ac:dyDescent="0.2">
      <c r="B2" s="235" t="s">
        <v>782</v>
      </c>
    </row>
    <row r="3" spans="2:3" ht="18" x14ac:dyDescent="0.2">
      <c r="B3" s="235" t="s">
        <v>1707</v>
      </c>
    </row>
    <row r="4" spans="2:3" ht="18" x14ac:dyDescent="0.2">
      <c r="B4" s="235"/>
    </row>
    <row r="5" spans="2:3" x14ac:dyDescent="0.2">
      <c r="B5" s="239" t="s">
        <v>1223</v>
      </c>
    </row>
    <row r="6" spans="2:3" ht="18" hidden="1" x14ac:dyDescent="0.2">
      <c r="B6" s="240"/>
    </row>
    <row r="7" spans="2:3" ht="12.75" customHeight="1" x14ac:dyDescent="0.2"/>
    <row r="9" spans="2:3" x14ac:dyDescent="0.2">
      <c r="B9" s="241" t="s">
        <v>190</v>
      </c>
    </row>
    <row r="10" spans="2:3" ht="12.75" customHeight="1" x14ac:dyDescent="0.2">
      <c r="B10" s="505" t="str">
        <f>CONCATENATE(B1," (the School) is a Crown entity as specified in the Crown Entities Act 2004 and a school as described in the Education and Training Act 2020."," The Board is of the view that the School is a public benefit entity for financial reporting purposes.")</f>
        <v>Blind and Low Vision Education Network NZ (the School) is a Crown entity as specified in the Crown Entities Act 2004 and a school as described in the Education and Training Act 2020. The Board is of the view that the School is a public benefit entity for financial reporting purposes.</v>
      </c>
      <c r="C10" s="505"/>
    </row>
    <row r="11" spans="2:3" ht="12.75" customHeight="1" x14ac:dyDescent="0.2">
      <c r="B11" s="505"/>
      <c r="C11" s="505"/>
    </row>
    <row r="12" spans="2:3" x14ac:dyDescent="0.2">
      <c r="B12" s="505"/>
      <c r="C12" s="505"/>
    </row>
    <row r="13" spans="2:3" ht="5.25" customHeight="1" x14ac:dyDescent="0.2">
      <c r="B13" s="505"/>
      <c r="C13" s="505"/>
    </row>
    <row r="14" spans="2:3" x14ac:dyDescent="0.2">
      <c r="B14" s="241" t="s">
        <v>189</v>
      </c>
    </row>
    <row r="15" spans="2:3" x14ac:dyDescent="0.2">
      <c r="B15" s="242" t="s">
        <v>1224</v>
      </c>
      <c r="C15" s="242"/>
    </row>
    <row r="16" spans="2:3" s="238" customFormat="1" ht="12.75" customHeight="1" x14ac:dyDescent="0.2">
      <c r="B16" s="508" t="s">
        <v>1708</v>
      </c>
      <c r="C16" s="508"/>
    </row>
    <row r="17" spans="2:3" s="238" customFormat="1" ht="12.75" customHeight="1" x14ac:dyDescent="0.2">
      <c r="B17" s="508"/>
      <c r="C17" s="508"/>
    </row>
    <row r="18" spans="2:3" s="238" customFormat="1" ht="12.75" customHeight="1" x14ac:dyDescent="0.2">
      <c r="B18" s="508"/>
      <c r="C18" s="508"/>
    </row>
    <row r="19" spans="2:3" s="238" customFormat="1" x14ac:dyDescent="0.2">
      <c r="B19" s="243" t="s">
        <v>1225</v>
      </c>
      <c r="C19" s="244"/>
    </row>
    <row r="20" spans="2:3" s="238" customFormat="1" x14ac:dyDescent="0.2">
      <c r="B20" s="505" t="s">
        <v>1226</v>
      </c>
      <c r="C20" s="505"/>
    </row>
    <row r="21" spans="2:3" s="238" customFormat="1" x14ac:dyDescent="0.2">
      <c r="B21" s="505"/>
      <c r="C21" s="505"/>
    </row>
    <row r="22" spans="2:3" s="238" customFormat="1" x14ac:dyDescent="0.2">
      <c r="B22" s="505"/>
      <c r="C22" s="505"/>
    </row>
    <row r="23" spans="2:3" s="238" customFormat="1" x14ac:dyDescent="0.2">
      <c r="B23" s="242" t="s">
        <v>1227</v>
      </c>
    </row>
    <row r="24" spans="2:3" ht="91.5" customHeight="1" x14ac:dyDescent="0.2">
      <c r="B24" s="505" t="s">
        <v>1587</v>
      </c>
      <c r="C24" s="505"/>
    </row>
    <row r="25" spans="2:3" ht="10.5" customHeight="1" x14ac:dyDescent="0.2">
      <c r="B25" s="289"/>
      <c r="C25" s="289"/>
    </row>
    <row r="26" spans="2:3" hidden="1" x14ac:dyDescent="0.2">
      <c r="B26" s="245" t="s">
        <v>1064</v>
      </c>
      <c r="C26" s="289"/>
    </row>
    <row r="27" spans="2:3" ht="41.25" hidden="1" customHeight="1" x14ac:dyDescent="0.2">
      <c r="B27" s="505" t="s">
        <v>1698</v>
      </c>
      <c r="C27" s="505"/>
    </row>
    <row r="28" spans="2:3" hidden="1" x14ac:dyDescent="0.2">
      <c r="B28" s="505"/>
      <c r="C28" s="505"/>
    </row>
    <row r="29" spans="2:3" hidden="1" x14ac:dyDescent="0.2">
      <c r="B29" s="289"/>
      <c r="C29" s="289"/>
    </row>
    <row r="30" spans="2:3" hidden="1" x14ac:dyDescent="0.2">
      <c r="B30" s="289"/>
      <c r="C30" s="289"/>
    </row>
    <row r="31" spans="2:3" hidden="1" x14ac:dyDescent="0.2">
      <c r="B31" s="289"/>
      <c r="C31" s="289"/>
    </row>
    <row r="32" spans="2:3" x14ac:dyDescent="0.2">
      <c r="B32" s="246" t="s">
        <v>12</v>
      </c>
    </row>
    <row r="33" spans="2:3" ht="12.75" customHeight="1" x14ac:dyDescent="0.2">
      <c r="B33" s="505" t="s">
        <v>1588</v>
      </c>
      <c r="C33" s="505"/>
    </row>
    <row r="34" spans="2:3" ht="12.75" customHeight="1" x14ac:dyDescent="0.2">
      <c r="B34" s="505"/>
      <c r="C34" s="505"/>
    </row>
    <row r="35" spans="2:3" x14ac:dyDescent="0.2">
      <c r="B35" s="505"/>
      <c r="C35" s="505"/>
    </row>
    <row r="36" spans="2:3" x14ac:dyDescent="0.2">
      <c r="B36" s="242" t="s">
        <v>1589</v>
      </c>
    </row>
    <row r="37" spans="2:3" ht="23.25" customHeight="1" x14ac:dyDescent="0.2">
      <c r="B37" s="506" t="s">
        <v>1590</v>
      </c>
      <c r="C37" s="505"/>
    </row>
    <row r="38" spans="2:3" ht="12.75" hidden="1" customHeight="1" x14ac:dyDescent="0.2">
      <c r="B38" s="291"/>
      <c r="C38" s="291"/>
    </row>
    <row r="39" spans="2:3" hidden="1" x14ac:dyDescent="0.2">
      <c r="B39" s="291"/>
      <c r="C39" s="291"/>
    </row>
    <row r="40" spans="2:3" x14ac:dyDescent="0.2">
      <c r="B40" s="242" t="s">
        <v>1228</v>
      </c>
    </row>
    <row r="41" spans="2:3" x14ac:dyDescent="0.2">
      <c r="B41" s="513" t="s">
        <v>13</v>
      </c>
      <c r="C41" s="513"/>
    </row>
    <row r="42" spans="2:3" x14ac:dyDescent="0.2">
      <c r="B42" s="513"/>
      <c r="C42" s="513"/>
    </row>
    <row r="43" spans="2:3" x14ac:dyDescent="0.2">
      <c r="B43" s="246" t="s">
        <v>1229</v>
      </c>
    </row>
    <row r="44" spans="2:3" ht="12.75" customHeight="1" x14ac:dyDescent="0.2">
      <c r="B44" s="505" t="s">
        <v>1230</v>
      </c>
      <c r="C44" s="505"/>
    </row>
    <row r="45" spans="2:3" ht="12.75" customHeight="1" x14ac:dyDescent="0.2">
      <c r="B45" s="505"/>
      <c r="C45" s="505"/>
    </row>
    <row r="46" spans="2:3" ht="15.75" x14ac:dyDescent="0.2">
      <c r="B46" s="246" t="s">
        <v>1231</v>
      </c>
      <c r="C46" s="247"/>
    </row>
    <row r="47" spans="2:3" ht="78" customHeight="1" x14ac:dyDescent="0.2">
      <c r="B47" s="505" t="s">
        <v>913</v>
      </c>
      <c r="C47" s="505"/>
    </row>
    <row r="48" spans="2:3" ht="9" customHeight="1" x14ac:dyDescent="0.2">
      <c r="B48" s="289"/>
      <c r="C48" s="289"/>
    </row>
    <row r="49" spans="2:3" x14ac:dyDescent="0.2">
      <c r="B49" s="248" t="s">
        <v>143</v>
      </c>
      <c r="C49" s="289"/>
    </row>
    <row r="50" spans="2:3" ht="69" customHeight="1" x14ac:dyDescent="0.2">
      <c r="B50" s="505" t="s">
        <v>1636</v>
      </c>
      <c r="C50" s="505"/>
    </row>
    <row r="51" spans="2:3" hidden="1" x14ac:dyDescent="0.2">
      <c r="B51" s="289"/>
      <c r="C51" s="289"/>
    </row>
    <row r="52" spans="2:3" hidden="1" x14ac:dyDescent="0.2">
      <c r="B52" s="289"/>
      <c r="C52" s="289"/>
    </row>
    <row r="53" spans="2:3" hidden="1" x14ac:dyDescent="0.2">
      <c r="B53" s="289"/>
      <c r="C53" s="289"/>
    </row>
    <row r="54" spans="2:3" x14ac:dyDescent="0.2">
      <c r="B54" s="248" t="s">
        <v>914</v>
      </c>
    </row>
    <row r="55" spans="2:3" ht="52.5" customHeight="1" x14ac:dyDescent="0.2">
      <c r="B55" s="505" t="s">
        <v>1725</v>
      </c>
      <c r="C55" s="505"/>
    </row>
    <row r="56" spans="2:3" hidden="1" x14ac:dyDescent="0.2">
      <c r="B56" s="289"/>
      <c r="C56" s="289"/>
    </row>
    <row r="57" spans="2:3" hidden="1" x14ac:dyDescent="0.2">
      <c r="B57" s="248"/>
      <c r="C57" s="289"/>
    </row>
    <row r="58" spans="2:3" ht="69.75" hidden="1" customHeight="1" x14ac:dyDescent="0.2">
      <c r="B58" s="505"/>
      <c r="C58" s="505"/>
    </row>
    <row r="59" spans="2:3" hidden="1" x14ac:dyDescent="0.2">
      <c r="B59" s="289"/>
      <c r="C59" s="289"/>
    </row>
    <row r="60" spans="2:3" ht="8.25" customHeight="1" x14ac:dyDescent="0.2">
      <c r="B60" s="289"/>
      <c r="C60" s="289"/>
    </row>
    <row r="61" spans="2:3" x14ac:dyDescent="0.2">
      <c r="B61" s="246" t="s">
        <v>915</v>
      </c>
      <c r="C61" s="289"/>
    </row>
    <row r="62" spans="2:3" x14ac:dyDescent="0.2">
      <c r="B62" s="249" t="s">
        <v>1232</v>
      </c>
      <c r="C62" s="289"/>
    </row>
    <row r="63" spans="2:3" x14ac:dyDescent="0.2">
      <c r="B63" s="249"/>
      <c r="C63" s="289"/>
    </row>
    <row r="64" spans="2:3" x14ac:dyDescent="0.2">
      <c r="B64" s="248" t="s">
        <v>916</v>
      </c>
    </row>
    <row r="65" spans="2:3" ht="64.5" customHeight="1" x14ac:dyDescent="0.2">
      <c r="B65" s="505" t="s">
        <v>1727</v>
      </c>
      <c r="C65" s="505"/>
    </row>
    <row r="66" spans="2:3" ht="84.75" customHeight="1" x14ac:dyDescent="0.2">
      <c r="B66" s="512" t="s">
        <v>1726</v>
      </c>
      <c r="C66" s="512"/>
    </row>
    <row r="67" spans="2:3" ht="12.75" customHeight="1" x14ac:dyDescent="0.2">
      <c r="B67" s="289"/>
      <c r="C67" s="289"/>
    </row>
    <row r="68" spans="2:3" ht="9" customHeight="1" x14ac:dyDescent="0.2">
      <c r="B68" s="289"/>
      <c r="C68" s="289"/>
    </row>
    <row r="69" spans="2:3" x14ac:dyDescent="0.2">
      <c r="B69" s="248" t="s">
        <v>917</v>
      </c>
    </row>
    <row r="70" spans="2:3" x14ac:dyDescent="0.2">
      <c r="B70" s="505" t="s">
        <v>1591</v>
      </c>
      <c r="C70" s="505"/>
    </row>
    <row r="71" spans="2:3" x14ac:dyDescent="0.2">
      <c r="B71" s="505"/>
      <c r="C71" s="505"/>
    </row>
    <row r="72" spans="2:3" x14ac:dyDescent="0.2">
      <c r="B72" s="505"/>
      <c r="C72" s="505"/>
    </row>
    <row r="73" spans="2:3" x14ac:dyDescent="0.2">
      <c r="B73" s="505"/>
      <c r="C73" s="505"/>
    </row>
    <row r="74" spans="2:3" s="238" customFormat="1" x14ac:dyDescent="0.2">
      <c r="B74" s="241" t="s">
        <v>1233</v>
      </c>
    </row>
    <row r="75" spans="2:3" s="238" customFormat="1" x14ac:dyDescent="0.2">
      <c r="B75" s="241"/>
    </row>
    <row r="76" spans="2:3" ht="12.75" customHeight="1" x14ac:dyDescent="0.2">
      <c r="B76" s="242" t="s">
        <v>191</v>
      </c>
    </row>
    <row r="77" spans="2:3" ht="12.75" customHeight="1" x14ac:dyDescent="0.2">
      <c r="B77" s="506" t="s">
        <v>1728</v>
      </c>
      <c r="C77" s="505"/>
    </row>
    <row r="78" spans="2:3" x14ac:dyDescent="0.2">
      <c r="B78" s="505"/>
      <c r="C78" s="505"/>
    </row>
    <row r="79" spans="2:3" x14ac:dyDescent="0.2">
      <c r="B79" s="505"/>
      <c r="C79" s="505"/>
    </row>
    <row r="80" spans="2:3" ht="12.75" customHeight="1" x14ac:dyDescent="0.2">
      <c r="B80" s="505"/>
      <c r="C80" s="505"/>
    </row>
    <row r="81" spans="2:3" x14ac:dyDescent="0.2">
      <c r="B81" s="505"/>
      <c r="C81" s="505"/>
    </row>
    <row r="82" spans="2:3" ht="13.5" customHeight="1" x14ac:dyDescent="0.2">
      <c r="B82" s="505"/>
      <c r="C82" s="505"/>
    </row>
    <row r="83" spans="2:3" x14ac:dyDescent="0.2">
      <c r="B83" s="505"/>
      <c r="C83" s="505"/>
    </row>
    <row r="84" spans="2:3" x14ac:dyDescent="0.2">
      <c r="B84" s="505"/>
      <c r="C84" s="505"/>
    </row>
    <row r="85" spans="2:3" ht="31.5" hidden="1" customHeight="1" x14ac:dyDescent="0.2">
      <c r="B85" s="505"/>
      <c r="C85" s="505"/>
    </row>
    <row r="86" spans="2:3" ht="50.25" customHeight="1" x14ac:dyDescent="0.2">
      <c r="B86" s="505"/>
      <c r="C86" s="505"/>
    </row>
    <row r="87" spans="2:3" ht="1.5" hidden="1" customHeight="1" x14ac:dyDescent="0.2">
      <c r="B87" s="250"/>
      <c r="C87" s="292"/>
    </row>
    <row r="88" spans="2:3" ht="107.25" customHeight="1" x14ac:dyDescent="0.2">
      <c r="B88" s="508" t="s">
        <v>1592</v>
      </c>
      <c r="C88" s="508"/>
    </row>
    <row r="89" spans="2:3" ht="9" customHeight="1" x14ac:dyDescent="0.2">
      <c r="B89" s="511"/>
      <c r="C89" s="511"/>
    </row>
    <row r="90" spans="2:3" ht="82.5" hidden="1" customHeight="1" x14ac:dyDescent="0.2">
      <c r="B90" s="508" t="s">
        <v>1593</v>
      </c>
      <c r="C90" s="508"/>
    </row>
    <row r="91" spans="2:3" hidden="1" x14ac:dyDescent="0.2">
      <c r="B91" s="291"/>
      <c r="C91" s="291"/>
    </row>
    <row r="92" spans="2:3" x14ac:dyDescent="0.2">
      <c r="B92" s="251" t="s">
        <v>1594</v>
      </c>
      <c r="C92" s="291"/>
    </row>
    <row r="93" spans="2:3" ht="40.5" customHeight="1" x14ac:dyDescent="0.2">
      <c r="B93" s="507" t="s">
        <v>1234</v>
      </c>
      <c r="C93" s="505"/>
    </row>
    <row r="94" spans="2:3" hidden="1" x14ac:dyDescent="0.2">
      <c r="B94" s="290"/>
      <c r="C94" s="291"/>
    </row>
    <row r="95" spans="2:3" ht="44.25" hidden="1" customHeight="1" x14ac:dyDescent="0.2">
      <c r="B95" s="507" t="s">
        <v>1235</v>
      </c>
      <c r="C95" s="505"/>
    </row>
    <row r="96" spans="2:3" hidden="1" x14ac:dyDescent="0.2">
      <c r="B96" s="290"/>
      <c r="C96" s="291"/>
    </row>
    <row r="97" spans="2:3" hidden="1" x14ac:dyDescent="0.2">
      <c r="B97" s="290"/>
      <c r="C97" s="291"/>
    </row>
    <row r="98" spans="2:3" hidden="1" x14ac:dyDescent="0.2">
      <c r="B98" s="290"/>
      <c r="C98" s="291"/>
    </row>
    <row r="99" spans="2:3" hidden="1" x14ac:dyDescent="0.2">
      <c r="B99" s="290"/>
      <c r="C99" s="291"/>
    </row>
    <row r="100" spans="2:3" hidden="1" x14ac:dyDescent="0.2">
      <c r="B100" s="291"/>
      <c r="C100" s="291"/>
    </row>
    <row r="101" spans="2:3" hidden="1" x14ac:dyDescent="0.2">
      <c r="B101" s="291"/>
      <c r="C101" s="291"/>
    </row>
    <row r="102" spans="2:3" ht="21.75" customHeight="1" x14ac:dyDescent="0.2">
      <c r="B102" s="297" t="s">
        <v>975</v>
      </c>
    </row>
    <row r="103" spans="2:3" ht="12.75" customHeight="1" x14ac:dyDescent="0.2">
      <c r="B103" s="505" t="s">
        <v>1729</v>
      </c>
      <c r="C103" s="505"/>
    </row>
    <row r="104" spans="2:3" ht="32.25" customHeight="1" x14ac:dyDescent="0.2">
      <c r="B104" s="505"/>
      <c r="C104" s="505"/>
    </row>
    <row r="105" spans="2:3" x14ac:dyDescent="0.2">
      <c r="B105" s="242" t="s">
        <v>1236</v>
      </c>
    </row>
    <row r="106" spans="2:3" ht="12.75" customHeight="1" x14ac:dyDescent="0.2">
      <c r="B106" s="506" t="s">
        <v>1237</v>
      </c>
      <c r="C106" s="506"/>
    </row>
    <row r="107" spans="2:3" ht="12.75" customHeight="1" x14ac:dyDescent="0.2">
      <c r="B107" s="291"/>
      <c r="C107" s="291"/>
    </row>
    <row r="108" spans="2:3" ht="12.75" hidden="1" customHeight="1" x14ac:dyDescent="0.2">
      <c r="B108" s="291"/>
      <c r="C108" s="291"/>
    </row>
    <row r="109" spans="2:3" hidden="1" x14ac:dyDescent="0.2">
      <c r="B109" s="241"/>
    </row>
    <row r="110" spans="2:3" ht="12.75" hidden="1" customHeight="1" x14ac:dyDescent="0.2">
      <c r="B110" s="506"/>
      <c r="C110" s="506"/>
    </row>
    <row r="111" spans="2:3" ht="12.75" hidden="1" customHeight="1" x14ac:dyDescent="0.2">
      <c r="B111" s="506"/>
      <c r="C111" s="506"/>
    </row>
    <row r="112" spans="2:3" hidden="1" x14ac:dyDescent="0.2">
      <c r="B112" s="506"/>
      <c r="C112" s="506"/>
    </row>
    <row r="113" spans="2:3" hidden="1" x14ac:dyDescent="0.2">
      <c r="B113" s="506"/>
      <c r="C113" s="506"/>
    </row>
    <row r="114" spans="2:3" hidden="1" x14ac:dyDescent="0.2">
      <c r="B114" s="506"/>
      <c r="C114" s="506"/>
    </row>
    <row r="115" spans="2:3" hidden="1" x14ac:dyDescent="0.2">
      <c r="B115" s="506"/>
      <c r="C115" s="506"/>
    </row>
    <row r="116" spans="2:3" ht="12.75" hidden="1" customHeight="1" x14ac:dyDescent="0.2">
      <c r="B116" s="506"/>
      <c r="C116" s="506"/>
    </row>
    <row r="117" spans="2:3" hidden="1" x14ac:dyDescent="0.2">
      <c r="B117" s="506"/>
      <c r="C117" s="506"/>
    </row>
    <row r="118" spans="2:3" hidden="1" x14ac:dyDescent="0.2">
      <c r="B118" s="506"/>
      <c r="C118" s="506"/>
    </row>
    <row r="119" spans="2:3" hidden="1" x14ac:dyDescent="0.2">
      <c r="B119" s="506"/>
      <c r="C119" s="506"/>
    </row>
    <row r="120" spans="2:3" x14ac:dyDescent="0.2">
      <c r="B120" s="241" t="s">
        <v>1526</v>
      </c>
    </row>
    <row r="121" spans="2:3" ht="12.75" customHeight="1" x14ac:dyDescent="0.2">
      <c r="B121" s="506" t="s">
        <v>475</v>
      </c>
      <c r="C121" s="506"/>
    </row>
    <row r="122" spans="2:3" x14ac:dyDescent="0.2">
      <c r="B122" s="506"/>
      <c r="C122" s="506"/>
    </row>
    <row r="123" spans="2:3" x14ac:dyDescent="0.2">
      <c r="B123" s="506"/>
      <c r="C123" s="506"/>
    </row>
    <row r="124" spans="2:3" x14ac:dyDescent="0.2">
      <c r="B124" s="241" t="s">
        <v>1527</v>
      </c>
    </row>
    <row r="125" spans="2:3" ht="12.75" customHeight="1" x14ac:dyDescent="0.2">
      <c r="B125" s="506" t="s">
        <v>1238</v>
      </c>
      <c r="C125" s="506"/>
    </row>
    <row r="126" spans="2:3" x14ac:dyDescent="0.2">
      <c r="B126" s="506"/>
      <c r="C126" s="506"/>
    </row>
    <row r="127" spans="2:3" ht="12.75" customHeight="1" x14ac:dyDescent="0.2">
      <c r="B127" s="506"/>
      <c r="C127" s="506"/>
    </row>
    <row r="128" spans="2:3" x14ac:dyDescent="0.2">
      <c r="B128" s="241" t="s">
        <v>1528</v>
      </c>
    </row>
    <row r="129" spans="2:3" ht="12.75" customHeight="1" x14ac:dyDescent="0.2">
      <c r="B129" s="506" t="s">
        <v>918</v>
      </c>
      <c r="C129" s="506"/>
    </row>
    <row r="130" spans="2:3" ht="12.75" customHeight="1" x14ac:dyDescent="0.2">
      <c r="B130" s="506"/>
      <c r="C130" s="506"/>
    </row>
    <row r="131" spans="2:3" x14ac:dyDescent="0.2">
      <c r="B131" s="506"/>
      <c r="C131" s="506"/>
    </row>
    <row r="132" spans="2:3" x14ac:dyDescent="0.2">
      <c r="B132" s="506"/>
      <c r="C132" s="506"/>
    </row>
    <row r="133" spans="2:3" x14ac:dyDescent="0.2">
      <c r="B133" s="241" t="s">
        <v>1529</v>
      </c>
    </row>
    <row r="134" spans="2:3" s="250" customFormat="1" ht="54.75" customHeight="1" x14ac:dyDescent="0.2">
      <c r="B134" s="505" t="s">
        <v>1730</v>
      </c>
      <c r="C134" s="505"/>
    </row>
    <row r="135" spans="2:3" s="250" customFormat="1" x14ac:dyDescent="0.2">
      <c r="B135" s="289"/>
      <c r="C135" s="289"/>
    </row>
    <row r="136" spans="2:3" s="250" customFormat="1" ht="12.75" hidden="1" customHeight="1" x14ac:dyDescent="0.2">
      <c r="B136" s="252" t="s">
        <v>1065</v>
      </c>
      <c r="C136" s="289"/>
    </row>
    <row r="137" spans="2:3" s="250" customFormat="1" ht="70.5" hidden="1" customHeight="1" x14ac:dyDescent="0.2">
      <c r="B137" s="510" t="s">
        <v>919</v>
      </c>
      <c r="C137" s="510"/>
    </row>
    <row r="138" spans="2:3" s="250" customFormat="1" hidden="1" x14ac:dyDescent="0.2">
      <c r="B138" s="289"/>
      <c r="C138" s="289"/>
    </row>
    <row r="139" spans="2:3" s="250" customFormat="1" ht="12.75" hidden="1" customHeight="1" x14ac:dyDescent="0.2">
      <c r="B139" s="289"/>
      <c r="C139" s="289"/>
    </row>
    <row r="140" spans="2:3" x14ac:dyDescent="0.2">
      <c r="B140" s="241" t="s">
        <v>1530</v>
      </c>
    </row>
    <row r="141" spans="2:3" ht="12.75" customHeight="1" x14ac:dyDescent="0.2">
      <c r="B141" s="506" t="s">
        <v>1731</v>
      </c>
      <c r="C141" s="506"/>
    </row>
    <row r="142" spans="2:3" x14ac:dyDescent="0.2">
      <c r="B142" s="506"/>
      <c r="C142" s="506"/>
    </row>
    <row r="143" spans="2:3" x14ac:dyDescent="0.2">
      <c r="B143" s="506"/>
      <c r="C143" s="506"/>
    </row>
    <row r="144" spans="2:3" x14ac:dyDescent="0.2">
      <c r="B144" s="506"/>
      <c r="C144" s="506"/>
    </row>
    <row r="145" spans="2:3" ht="12" customHeight="1" x14ac:dyDescent="0.2">
      <c r="B145" s="506"/>
      <c r="C145" s="506"/>
    </row>
    <row r="146" spans="2:3" ht="5.25" customHeight="1" x14ac:dyDescent="0.2">
      <c r="B146" s="506"/>
      <c r="C146" s="506"/>
    </row>
    <row r="147" spans="2:3" ht="12.75" customHeight="1" x14ac:dyDescent="0.2">
      <c r="B147" s="241" t="s">
        <v>1531</v>
      </c>
    </row>
    <row r="148" spans="2:3" ht="12.75" hidden="1" customHeight="1" x14ac:dyDescent="0.2">
      <c r="B148" s="253"/>
      <c r="C148" s="253"/>
    </row>
    <row r="149" spans="2:3" ht="29.25" customHeight="1" x14ac:dyDescent="0.2">
      <c r="B149" s="505" t="s">
        <v>1732</v>
      </c>
      <c r="C149" s="505"/>
    </row>
    <row r="150" spans="2:3" ht="12.75" hidden="1" customHeight="1" x14ac:dyDescent="0.2">
      <c r="B150" s="253"/>
      <c r="C150" s="253"/>
    </row>
    <row r="151" spans="2:3" ht="12.75" hidden="1" customHeight="1" x14ac:dyDescent="0.2">
      <c r="B151" s="293"/>
      <c r="C151" s="293"/>
    </row>
    <row r="152" spans="2:3" hidden="1" x14ac:dyDescent="0.2">
      <c r="B152" s="254" t="s">
        <v>1065</v>
      </c>
      <c r="C152" s="293"/>
    </row>
    <row r="153" spans="2:3" ht="47.25" hidden="1" customHeight="1" x14ac:dyDescent="0.2">
      <c r="B153" s="510" t="s">
        <v>1239</v>
      </c>
      <c r="C153" s="510"/>
    </row>
    <row r="154" spans="2:3" ht="58.5" hidden="1" customHeight="1" x14ac:dyDescent="0.2">
      <c r="B154" s="509" t="s">
        <v>1240</v>
      </c>
      <c r="C154" s="510"/>
    </row>
    <row r="155" spans="2:3" ht="29.25" hidden="1" customHeight="1" x14ac:dyDescent="0.2">
      <c r="B155" s="509" t="s">
        <v>920</v>
      </c>
      <c r="C155" s="510"/>
    </row>
    <row r="156" spans="2:3" hidden="1" x14ac:dyDescent="0.2">
      <c r="B156" s="293"/>
      <c r="C156" s="293"/>
    </row>
    <row r="157" spans="2:3" hidden="1" x14ac:dyDescent="0.2">
      <c r="B157" s="293"/>
      <c r="C157" s="293"/>
    </row>
    <row r="158" spans="2:3" hidden="1" x14ac:dyDescent="0.2">
      <c r="B158" s="293"/>
      <c r="C158" s="293"/>
    </row>
    <row r="159" spans="2:3" hidden="1" x14ac:dyDescent="0.2">
      <c r="B159" s="293"/>
      <c r="C159" s="293"/>
    </row>
    <row r="160" spans="2:3" hidden="1" x14ac:dyDescent="0.2">
      <c r="B160" s="293"/>
      <c r="C160" s="293"/>
    </row>
    <row r="161" spans="2:3" hidden="1" x14ac:dyDescent="0.2">
      <c r="B161" s="293"/>
      <c r="C161" s="293"/>
    </row>
    <row r="162" spans="2:3" ht="12.75" hidden="1" customHeight="1" x14ac:dyDescent="0.2">
      <c r="B162" s="293"/>
      <c r="C162" s="293"/>
    </row>
    <row r="163" spans="2:3" hidden="1" x14ac:dyDescent="0.2">
      <c r="B163" s="293"/>
      <c r="C163" s="293"/>
    </row>
    <row r="164" spans="2:3" ht="12.75" customHeight="1" x14ac:dyDescent="0.2">
      <c r="B164" s="293"/>
      <c r="C164" s="293"/>
    </row>
    <row r="165" spans="2:3" x14ac:dyDescent="0.2">
      <c r="B165" s="241" t="s">
        <v>1532</v>
      </c>
    </row>
    <row r="166" spans="2:3" hidden="1" x14ac:dyDescent="0.2">
      <c r="B166" s="249"/>
    </row>
    <row r="167" spans="2:3" ht="28.5" customHeight="1" x14ac:dyDescent="0.2">
      <c r="B167" s="508" t="s">
        <v>192</v>
      </c>
      <c r="C167" s="508"/>
    </row>
    <row r="168" spans="2:3" x14ac:dyDescent="0.2">
      <c r="B168" s="249"/>
    </row>
    <row r="169" spans="2:3" hidden="1" x14ac:dyDescent="0.2">
      <c r="B169" s="505" t="s">
        <v>1241</v>
      </c>
      <c r="C169" s="505"/>
    </row>
    <row r="170" spans="2:3" hidden="1" x14ac:dyDescent="0.2">
      <c r="B170" s="505"/>
      <c r="C170" s="505"/>
    </row>
    <row r="171" spans="2:3" hidden="1" x14ac:dyDescent="0.2">
      <c r="B171" s="505"/>
      <c r="C171" s="505"/>
    </row>
    <row r="172" spans="2:3" ht="30" customHeight="1" x14ac:dyDescent="0.2">
      <c r="B172" s="505" t="s">
        <v>1595</v>
      </c>
      <c r="C172" s="505"/>
    </row>
    <row r="173" spans="2:3" ht="28.5" hidden="1" customHeight="1" x14ac:dyDescent="0.2">
      <c r="B173" s="505" t="s">
        <v>1596</v>
      </c>
      <c r="C173" s="505"/>
    </row>
    <row r="174" spans="2:3" ht="7.5" customHeight="1" x14ac:dyDescent="0.2">
      <c r="B174" s="289"/>
      <c r="C174" s="289"/>
    </row>
    <row r="175" spans="2:3" x14ac:dyDescent="0.2">
      <c r="B175" s="505" t="s">
        <v>1733</v>
      </c>
      <c r="C175" s="505"/>
    </row>
    <row r="176" spans="2:3" x14ac:dyDescent="0.2">
      <c r="B176" s="505"/>
      <c r="C176" s="505"/>
    </row>
    <row r="177" spans="2:3" x14ac:dyDescent="0.2">
      <c r="B177" s="505"/>
      <c r="C177" s="505"/>
    </row>
    <row r="178" spans="2:3" ht="12.75" customHeight="1" x14ac:dyDescent="0.2">
      <c r="B178" s="505"/>
      <c r="C178" s="505"/>
    </row>
    <row r="179" spans="2:3" hidden="1" x14ac:dyDescent="0.2">
      <c r="B179" s="505"/>
      <c r="C179" s="505"/>
    </row>
    <row r="180" spans="2:3" hidden="1" x14ac:dyDescent="0.2">
      <c r="B180" s="505" t="str">
        <f>CONCATENATE("Property, plant and equipment acquired with individual values under $",C1," are not capitalised, they are recognised as an expense in the Statement of Comprehensive Revenue and Expense.")</f>
        <v>Property, plant and equipment acquired with individual values under $1000 are not capitalised, they are recognised as an expense in the Statement of Comprehensive Revenue and Expense.</v>
      </c>
      <c r="C180" s="505"/>
    </row>
    <row r="181" spans="2:3" hidden="1" x14ac:dyDescent="0.2">
      <c r="B181" s="505"/>
      <c r="C181" s="505"/>
    </row>
    <row r="182" spans="2:3" hidden="1" x14ac:dyDescent="0.2">
      <c r="B182" s="505"/>
      <c r="C182" s="505"/>
    </row>
    <row r="183" spans="2:3" x14ac:dyDescent="0.2">
      <c r="B183" s="506" t="s">
        <v>1597</v>
      </c>
      <c r="C183" s="506"/>
    </row>
    <row r="184" spans="2:3" ht="12.75" customHeight="1" x14ac:dyDescent="0.2">
      <c r="B184" s="506"/>
      <c r="C184" s="506"/>
    </row>
    <row r="185" spans="2:3" ht="12.75" customHeight="1" x14ac:dyDescent="0.2">
      <c r="B185" s="506"/>
      <c r="C185" s="506"/>
    </row>
    <row r="186" spans="2:3" x14ac:dyDescent="0.2">
      <c r="B186" s="506"/>
      <c r="C186" s="506"/>
    </row>
    <row r="187" spans="2:3" x14ac:dyDescent="0.2">
      <c r="B187" s="246" t="s">
        <v>1242</v>
      </c>
    </row>
    <row r="188" spans="2:3" ht="12.75" customHeight="1" x14ac:dyDescent="0.2">
      <c r="B188" s="505" t="s">
        <v>1598</v>
      </c>
      <c r="C188" s="505"/>
    </row>
    <row r="189" spans="2:3" ht="12.75" customHeight="1" x14ac:dyDescent="0.2">
      <c r="B189" s="505"/>
      <c r="C189" s="505"/>
    </row>
    <row r="190" spans="2:3" ht="12.75" customHeight="1" x14ac:dyDescent="0.2">
      <c r="B190" s="505"/>
      <c r="C190" s="505"/>
    </row>
    <row r="191" spans="2:3" x14ac:dyDescent="0.2">
      <c r="B191" s="505"/>
      <c r="C191" s="505"/>
    </row>
    <row r="192" spans="2:3" x14ac:dyDescent="0.2">
      <c r="B192" s="505"/>
      <c r="C192" s="505"/>
    </row>
    <row r="193" spans="2:3" x14ac:dyDescent="0.2">
      <c r="B193" s="505"/>
      <c r="C193" s="505"/>
    </row>
    <row r="194" spans="2:3" ht="21" customHeight="1" x14ac:dyDescent="0.2">
      <c r="B194" s="505"/>
      <c r="C194" s="505"/>
    </row>
    <row r="195" spans="2:3" ht="12.75" customHeight="1" x14ac:dyDescent="0.2">
      <c r="B195" s="246" t="s">
        <v>791</v>
      </c>
    </row>
    <row r="196" spans="2:3" ht="12.75" customHeight="1" x14ac:dyDescent="0.2">
      <c r="B196" s="505" t="s">
        <v>1243</v>
      </c>
      <c r="C196" s="505"/>
    </row>
    <row r="197" spans="2:3" x14ac:dyDescent="0.2">
      <c r="B197" s="505"/>
      <c r="C197" s="505"/>
    </row>
    <row r="198" spans="2:3" x14ac:dyDescent="0.2">
      <c r="B198" s="505"/>
      <c r="C198" s="505"/>
    </row>
    <row r="199" spans="2:3" ht="12.75" customHeight="1" x14ac:dyDescent="0.2">
      <c r="B199" s="505"/>
      <c r="C199" s="505"/>
    </row>
    <row r="200" spans="2:3" ht="12.75" hidden="1" customHeight="1" x14ac:dyDescent="0.2">
      <c r="B200" s="505" t="s">
        <v>1244</v>
      </c>
      <c r="C200" s="505"/>
    </row>
    <row r="201" spans="2:3" ht="12.75" hidden="1" customHeight="1" x14ac:dyDescent="0.2">
      <c r="B201" s="505"/>
      <c r="C201" s="505"/>
    </row>
    <row r="202" spans="2:3" ht="12.75" hidden="1" customHeight="1" x14ac:dyDescent="0.2">
      <c r="B202" s="505"/>
      <c r="C202" s="505"/>
    </row>
    <row r="203" spans="2:3" ht="12.75" customHeight="1" x14ac:dyDescent="0.2">
      <c r="B203" s="249" t="s">
        <v>790</v>
      </c>
    </row>
    <row r="204" spans="2:3" x14ac:dyDescent="0.2">
      <c r="B204" s="255" t="s">
        <v>1599</v>
      </c>
      <c r="C204" s="255" t="s">
        <v>1541</v>
      </c>
    </row>
    <row r="205" spans="2:3" x14ac:dyDescent="0.2">
      <c r="B205" s="255" t="s">
        <v>1245</v>
      </c>
      <c r="C205" s="255" t="s">
        <v>1734</v>
      </c>
    </row>
    <row r="206" spans="2:3" x14ac:dyDescent="0.2">
      <c r="B206" s="255" t="s">
        <v>1600</v>
      </c>
      <c r="C206" s="255" t="s">
        <v>1735</v>
      </c>
    </row>
    <row r="207" spans="2:3" x14ac:dyDescent="0.2">
      <c r="B207" s="255" t="s">
        <v>764</v>
      </c>
      <c r="C207" s="238" t="s">
        <v>1736</v>
      </c>
    </row>
    <row r="208" spans="2:3" x14ac:dyDescent="0.2">
      <c r="B208" s="255" t="s">
        <v>121</v>
      </c>
      <c r="C208" s="255" t="s">
        <v>188</v>
      </c>
    </row>
    <row r="209" spans="2:3" ht="12.75" customHeight="1" x14ac:dyDescent="0.2">
      <c r="B209" s="255" t="s">
        <v>1246</v>
      </c>
      <c r="C209" s="255" t="s">
        <v>1737</v>
      </c>
    </row>
    <row r="210" spans="2:3" ht="14.25" customHeight="1" x14ac:dyDescent="0.2">
      <c r="B210" s="255" t="s">
        <v>1752</v>
      </c>
      <c r="C210" s="255" t="s">
        <v>1753</v>
      </c>
    </row>
    <row r="211" spans="2:3" hidden="1" x14ac:dyDescent="0.2">
      <c r="B211" s="255"/>
      <c r="C211" s="255"/>
    </row>
    <row r="212" spans="2:3" hidden="1" x14ac:dyDescent="0.2">
      <c r="B212" s="255"/>
      <c r="C212" s="255"/>
    </row>
    <row r="213" spans="2:3" hidden="1" x14ac:dyDescent="0.2">
      <c r="B213" s="255"/>
      <c r="C213" s="255"/>
    </row>
    <row r="214" spans="2:3" hidden="1" x14ac:dyDescent="0.2">
      <c r="B214" s="255"/>
      <c r="C214" s="255"/>
    </row>
    <row r="215" spans="2:3" hidden="1" x14ac:dyDescent="0.2">
      <c r="B215" s="255"/>
      <c r="C215" s="255"/>
    </row>
    <row r="216" spans="2:3" hidden="1" x14ac:dyDescent="0.2">
      <c r="B216" s="255"/>
      <c r="C216" s="255"/>
    </row>
    <row r="217" spans="2:3" hidden="1" x14ac:dyDescent="0.2">
      <c r="B217" s="255"/>
      <c r="C217" s="255"/>
    </row>
    <row r="218" spans="2:3" hidden="1" x14ac:dyDescent="0.2">
      <c r="B218" s="255"/>
      <c r="C218" s="255"/>
    </row>
    <row r="219" spans="2:3" x14ac:dyDescent="0.2">
      <c r="B219" s="255" t="s">
        <v>1247</v>
      </c>
      <c r="C219" s="255" t="s">
        <v>1248</v>
      </c>
    </row>
    <row r="220" spans="2:3" ht="12.75" customHeight="1" x14ac:dyDescent="0.2">
      <c r="B220" s="249"/>
    </row>
    <row r="221" spans="2:3" x14ac:dyDescent="0.2">
      <c r="B221" s="256" t="s">
        <v>1533</v>
      </c>
    </row>
    <row r="222" spans="2:3" x14ac:dyDescent="0.2">
      <c r="B222" s="257" t="s">
        <v>789</v>
      </c>
    </row>
    <row r="223" spans="2:3" ht="12.75" customHeight="1" x14ac:dyDescent="0.2">
      <c r="B223" s="506" t="s">
        <v>1601</v>
      </c>
      <c r="C223" s="506"/>
    </row>
    <row r="224" spans="2:3" x14ac:dyDescent="0.2">
      <c r="B224" s="506"/>
      <c r="C224" s="506"/>
    </row>
    <row r="225" spans="2:3" x14ac:dyDescent="0.2">
      <c r="B225" s="506"/>
      <c r="C225" s="506"/>
    </row>
    <row r="226" spans="2:3" x14ac:dyDescent="0.2">
      <c r="B226" s="506"/>
      <c r="C226" s="506"/>
    </row>
    <row r="227" spans="2:3" ht="12.75" hidden="1" customHeight="1" x14ac:dyDescent="0.2">
      <c r="B227" s="506" t="s">
        <v>1249</v>
      </c>
      <c r="C227" s="506"/>
    </row>
    <row r="228" spans="2:3" hidden="1" x14ac:dyDescent="0.2">
      <c r="B228" s="506"/>
      <c r="C228" s="506"/>
    </row>
    <row r="229" spans="2:3" hidden="1" x14ac:dyDescent="0.2">
      <c r="B229" s="506"/>
      <c r="C229" s="506"/>
    </row>
    <row r="230" spans="2:3" ht="12.75" hidden="1" customHeight="1" x14ac:dyDescent="0.2">
      <c r="B230" s="506"/>
      <c r="C230" s="506"/>
    </row>
    <row r="231" spans="2:3" hidden="1" x14ac:dyDescent="0.2">
      <c r="B231" s="506"/>
      <c r="C231" s="506"/>
    </row>
    <row r="232" spans="2:3" ht="12.75" hidden="1" customHeight="1" x14ac:dyDescent="0.2">
      <c r="B232" s="506"/>
      <c r="C232" s="506"/>
    </row>
    <row r="233" spans="2:3" ht="12.75" hidden="1" customHeight="1" x14ac:dyDescent="0.2">
      <c r="B233" s="506"/>
      <c r="C233" s="506"/>
    </row>
    <row r="234" spans="2:3" hidden="1" x14ac:dyDescent="0.2">
      <c r="B234" s="506"/>
      <c r="C234" s="506"/>
    </row>
    <row r="235" spans="2:3" ht="12.75" customHeight="1" x14ac:dyDescent="0.2">
      <c r="B235" s="506" t="s">
        <v>1250</v>
      </c>
      <c r="C235" s="506"/>
    </row>
    <row r="236" spans="2:3" x14ac:dyDescent="0.2">
      <c r="B236" s="506"/>
      <c r="C236" s="506"/>
    </row>
    <row r="237" spans="2:3" x14ac:dyDescent="0.2">
      <c r="B237" s="506"/>
      <c r="C237" s="506"/>
    </row>
    <row r="238" spans="2:3" ht="12.75" customHeight="1" x14ac:dyDescent="0.2">
      <c r="B238" s="506"/>
      <c r="C238" s="506"/>
    </row>
    <row r="239" spans="2:3" ht="12.75" customHeight="1" x14ac:dyDescent="0.2">
      <c r="B239" s="256" t="s">
        <v>1534</v>
      </c>
    </row>
    <row r="240" spans="2:3" ht="12.75" customHeight="1" x14ac:dyDescent="0.2">
      <c r="B240" s="505" t="s">
        <v>1738</v>
      </c>
      <c r="C240" s="505"/>
    </row>
    <row r="241" spans="2:3" ht="12.75" customHeight="1" x14ac:dyDescent="0.2">
      <c r="B241" s="505"/>
      <c r="C241" s="505"/>
    </row>
    <row r="242" spans="2:3" ht="12.75" customHeight="1" x14ac:dyDescent="0.2">
      <c r="B242" s="505"/>
      <c r="C242" s="505"/>
    </row>
    <row r="243" spans="2:3" ht="12.75" customHeight="1" x14ac:dyDescent="0.2">
      <c r="B243" s="505"/>
      <c r="C243" s="505"/>
    </row>
    <row r="244" spans="2:3" ht="12.75" customHeight="1" x14ac:dyDescent="0.2">
      <c r="B244" s="505"/>
      <c r="C244" s="505"/>
    </row>
    <row r="245" spans="2:3" ht="12.75" customHeight="1" x14ac:dyDescent="0.2">
      <c r="B245" s="505"/>
      <c r="C245" s="505"/>
    </row>
    <row r="246" spans="2:3" ht="12.75" customHeight="1" x14ac:dyDescent="0.2">
      <c r="B246" s="505"/>
      <c r="C246" s="505"/>
    </row>
    <row r="247" spans="2:3" ht="12.75" customHeight="1" x14ac:dyDescent="0.2">
      <c r="B247" s="505"/>
      <c r="C247" s="505"/>
    </row>
    <row r="248" spans="2:3" ht="12.75" customHeight="1" x14ac:dyDescent="0.2">
      <c r="B248" s="505"/>
      <c r="C248" s="505"/>
    </row>
    <row r="249" spans="2:3" ht="12.75" customHeight="1" x14ac:dyDescent="0.2">
      <c r="B249" s="505"/>
      <c r="C249" s="505"/>
    </row>
    <row r="250" spans="2:3" ht="12.75" customHeight="1" x14ac:dyDescent="0.2">
      <c r="B250" s="505"/>
      <c r="C250" s="505"/>
    </row>
    <row r="251" spans="2:3" ht="12.75" customHeight="1" x14ac:dyDescent="0.2">
      <c r="B251" s="505"/>
      <c r="C251" s="505"/>
    </row>
    <row r="252" spans="2:3" ht="12.75" customHeight="1" x14ac:dyDescent="0.2">
      <c r="B252" s="505"/>
      <c r="C252" s="505"/>
    </row>
    <row r="253" spans="2:3" ht="12.75" customHeight="1" x14ac:dyDescent="0.2">
      <c r="B253" s="505"/>
      <c r="C253" s="505"/>
    </row>
    <row r="254" spans="2:3" ht="12.75" customHeight="1" x14ac:dyDescent="0.2">
      <c r="B254" s="505"/>
      <c r="C254" s="505"/>
    </row>
    <row r="255" spans="2:3" ht="12.75" customHeight="1" x14ac:dyDescent="0.2">
      <c r="B255" s="505"/>
      <c r="C255" s="505"/>
    </row>
    <row r="256" spans="2:3" ht="92.25" customHeight="1" x14ac:dyDescent="0.2">
      <c r="B256" s="505"/>
      <c r="C256" s="505"/>
    </row>
    <row r="257" spans="2:3" ht="9" customHeight="1" x14ac:dyDescent="0.2">
      <c r="B257" s="505"/>
      <c r="C257" s="505"/>
    </row>
    <row r="258" spans="2:3" ht="11.25" customHeight="1" x14ac:dyDescent="0.2">
      <c r="B258" s="505"/>
      <c r="C258" s="505"/>
    </row>
    <row r="259" spans="2:3" x14ac:dyDescent="0.2">
      <c r="B259" s="241" t="s">
        <v>1535</v>
      </c>
    </row>
    <row r="260" spans="2:3" ht="12.75" customHeight="1" x14ac:dyDescent="0.2">
      <c r="B260" s="507" t="s">
        <v>1251</v>
      </c>
      <c r="C260" s="507"/>
    </row>
    <row r="261" spans="2:3" x14ac:dyDescent="0.2">
      <c r="B261" s="507"/>
      <c r="C261" s="507"/>
    </row>
    <row r="262" spans="2:3" x14ac:dyDescent="0.2">
      <c r="B262" s="507"/>
      <c r="C262" s="507"/>
    </row>
    <row r="263" spans="2:3" x14ac:dyDescent="0.2">
      <c r="B263" s="507"/>
      <c r="C263" s="507"/>
    </row>
    <row r="264" spans="2:3" x14ac:dyDescent="0.2">
      <c r="B264" s="258" t="s">
        <v>1536</v>
      </c>
    </row>
    <row r="265" spans="2:3" x14ac:dyDescent="0.2">
      <c r="B265" s="248" t="s">
        <v>186</v>
      </c>
    </row>
    <row r="266" spans="2:3" ht="12.75" customHeight="1" x14ac:dyDescent="0.2">
      <c r="B266" s="505" t="s">
        <v>1754</v>
      </c>
      <c r="C266" s="505"/>
    </row>
    <row r="267" spans="2:3" x14ac:dyDescent="0.2">
      <c r="B267" s="505"/>
      <c r="C267" s="505"/>
    </row>
    <row r="268" spans="2:3" x14ac:dyDescent="0.2">
      <c r="B268" s="505"/>
      <c r="C268" s="505"/>
    </row>
    <row r="269" spans="2:3" x14ac:dyDescent="0.2">
      <c r="B269" s="505"/>
      <c r="C269" s="505"/>
    </row>
    <row r="270" spans="2:3" hidden="1" x14ac:dyDescent="0.2">
      <c r="B270" s="505"/>
      <c r="C270" s="505"/>
    </row>
    <row r="271" spans="2:3" x14ac:dyDescent="0.2">
      <c r="B271" s="248" t="s">
        <v>1032</v>
      </c>
      <c r="C271" s="289"/>
    </row>
    <row r="272" spans="2:3" x14ac:dyDescent="0.2">
      <c r="B272" s="505" t="s">
        <v>1739</v>
      </c>
      <c r="C272" s="505"/>
    </row>
    <row r="273" spans="2:3" x14ac:dyDescent="0.2">
      <c r="B273" s="505"/>
      <c r="C273" s="505"/>
    </row>
    <row r="274" spans="2:3" x14ac:dyDescent="0.2">
      <c r="B274" s="505"/>
      <c r="C274" s="505"/>
    </row>
    <row r="275" spans="2:3" x14ac:dyDescent="0.2">
      <c r="B275" s="505"/>
      <c r="C275" s="505"/>
    </row>
    <row r="276" spans="2:3" x14ac:dyDescent="0.2">
      <c r="B276" s="505"/>
      <c r="C276" s="505"/>
    </row>
    <row r="277" spans="2:3" x14ac:dyDescent="0.2">
      <c r="B277" s="505"/>
      <c r="C277" s="505"/>
    </row>
    <row r="278" spans="2:3" ht="25.5" customHeight="1" x14ac:dyDescent="0.2">
      <c r="B278" s="505"/>
      <c r="C278" s="505"/>
    </row>
    <row r="279" spans="2:3" ht="1.5" customHeight="1" x14ac:dyDescent="0.2">
      <c r="B279" s="505"/>
      <c r="C279" s="505"/>
    </row>
    <row r="280" spans="2:3" ht="5.25" hidden="1" customHeight="1" x14ac:dyDescent="0.2">
      <c r="B280" s="505"/>
      <c r="C280" s="505"/>
    </row>
    <row r="281" spans="2:3" x14ac:dyDescent="0.2">
      <c r="B281" s="241" t="s">
        <v>1537</v>
      </c>
    </row>
    <row r="282" spans="2:3" ht="12.75" customHeight="1" x14ac:dyDescent="0.2">
      <c r="B282" s="506" t="s">
        <v>1740</v>
      </c>
      <c r="C282" s="506"/>
    </row>
    <row r="283" spans="2:3" ht="12.75" customHeight="1" x14ac:dyDescent="0.2">
      <c r="B283" s="506"/>
      <c r="C283" s="506"/>
    </row>
    <row r="284" spans="2:3" x14ac:dyDescent="0.2">
      <c r="B284" s="506"/>
      <c r="C284" s="506"/>
    </row>
    <row r="285" spans="2:3" x14ac:dyDescent="0.2">
      <c r="B285" s="506"/>
      <c r="C285" s="506"/>
    </row>
    <row r="286" spans="2:3" ht="12.75" customHeight="1" x14ac:dyDescent="0.2">
      <c r="B286" s="506" t="s">
        <v>1741</v>
      </c>
      <c r="C286" s="506"/>
    </row>
    <row r="287" spans="2:3" x14ac:dyDescent="0.2">
      <c r="B287" s="506"/>
      <c r="C287" s="506"/>
    </row>
    <row r="288" spans="2:3" ht="14.25" customHeight="1" x14ac:dyDescent="0.2">
      <c r="B288" s="506"/>
      <c r="C288" s="506"/>
    </row>
    <row r="289" spans="2:3" ht="15" x14ac:dyDescent="0.2">
      <c r="B289" s="258" t="s">
        <v>1538</v>
      </c>
    </row>
    <row r="290" spans="2:3" ht="60" customHeight="1" x14ac:dyDescent="0.2">
      <c r="B290" s="505" t="s">
        <v>1602</v>
      </c>
      <c r="C290" s="505"/>
    </row>
    <row r="291" spans="2:3" ht="12.75" hidden="1" customHeight="1" x14ac:dyDescent="0.2">
      <c r="B291" s="289"/>
      <c r="C291" s="289"/>
    </row>
    <row r="292" spans="2:3" x14ac:dyDescent="0.2">
      <c r="B292" s="258" t="s">
        <v>1603</v>
      </c>
      <c r="C292" s="289"/>
    </row>
    <row r="293" spans="2:3" ht="75" customHeight="1" x14ac:dyDescent="0.2">
      <c r="B293" s="505" t="s">
        <v>1604</v>
      </c>
      <c r="C293" s="505"/>
    </row>
    <row r="294" spans="2:3" ht="12.75" customHeight="1" x14ac:dyDescent="0.2">
      <c r="B294" s="258" t="s">
        <v>1605</v>
      </c>
    </row>
    <row r="295" spans="2:3" ht="12.75" customHeight="1" x14ac:dyDescent="0.2">
      <c r="B295" s="505" t="s">
        <v>1606</v>
      </c>
      <c r="C295" s="505"/>
    </row>
    <row r="296" spans="2:3" ht="36.75" customHeight="1" x14ac:dyDescent="0.2">
      <c r="B296" s="505"/>
      <c r="C296" s="505"/>
    </row>
    <row r="297" spans="2:3" ht="34.5" customHeight="1" x14ac:dyDescent="0.2">
      <c r="B297" s="505"/>
      <c r="C297" s="505"/>
    </row>
    <row r="298" spans="2:3" ht="12.75" customHeight="1" x14ac:dyDescent="0.2">
      <c r="B298" s="258" t="s">
        <v>1607</v>
      </c>
      <c r="C298" s="258"/>
    </row>
    <row r="299" spans="2:3" ht="12.75" customHeight="1" x14ac:dyDescent="0.2">
      <c r="B299" s="505" t="s">
        <v>1252</v>
      </c>
      <c r="C299" s="505"/>
    </row>
    <row r="300" spans="2:3" x14ac:dyDescent="0.2">
      <c r="B300" s="505"/>
      <c r="C300" s="505"/>
    </row>
    <row r="301" spans="2:3" x14ac:dyDescent="0.2">
      <c r="B301" s="505"/>
      <c r="C301" s="505"/>
    </row>
    <row r="302" spans="2:3" ht="5.25" customHeight="1" x14ac:dyDescent="0.2">
      <c r="B302" s="505"/>
      <c r="C302" s="505"/>
    </row>
    <row r="303" spans="2:3" ht="4.5" customHeight="1" x14ac:dyDescent="0.2">
      <c r="B303" s="505"/>
      <c r="C303" s="505"/>
    </row>
    <row r="304" spans="2:3" ht="12.75" customHeight="1" x14ac:dyDescent="0.2">
      <c r="B304" s="505" t="s">
        <v>1608</v>
      </c>
      <c r="C304" s="505"/>
    </row>
    <row r="305" spans="2:3" x14ac:dyDescent="0.2">
      <c r="B305" s="505"/>
      <c r="C305" s="505"/>
    </row>
    <row r="306" spans="2:3" ht="12.75" customHeight="1" x14ac:dyDescent="0.2">
      <c r="B306" s="505"/>
      <c r="C306" s="505"/>
    </row>
    <row r="307" spans="2:3" ht="72" customHeight="1" x14ac:dyDescent="0.2">
      <c r="B307" s="505"/>
      <c r="C307" s="505"/>
    </row>
    <row r="308" spans="2:3" ht="12.75" hidden="1" customHeight="1" x14ac:dyDescent="0.2">
      <c r="B308" s="505" t="s">
        <v>1609</v>
      </c>
      <c r="C308" s="505"/>
    </row>
    <row r="309" spans="2:3" hidden="1" x14ac:dyDescent="0.2">
      <c r="B309" s="505"/>
      <c r="C309" s="505"/>
    </row>
    <row r="310" spans="2:3" hidden="1" x14ac:dyDescent="0.2">
      <c r="B310" s="505"/>
      <c r="C310" s="505"/>
    </row>
    <row r="311" spans="2:3" hidden="1" x14ac:dyDescent="0.2">
      <c r="B311" s="505"/>
      <c r="C311" s="505"/>
    </row>
    <row r="312" spans="2:3" ht="12.75" hidden="1" customHeight="1" x14ac:dyDescent="0.2">
      <c r="B312" s="505"/>
      <c r="C312" s="505"/>
    </row>
    <row r="313" spans="2:3" hidden="1" x14ac:dyDescent="0.2">
      <c r="B313" s="505"/>
      <c r="C313" s="505"/>
    </row>
    <row r="314" spans="2:3" hidden="1" x14ac:dyDescent="0.2">
      <c r="B314" s="505"/>
      <c r="C314" s="505"/>
    </row>
    <row r="315" spans="2:3" ht="12.75" customHeight="1" x14ac:dyDescent="0.2">
      <c r="B315" s="241" t="s">
        <v>1610</v>
      </c>
    </row>
    <row r="316" spans="2:3" ht="12.75" customHeight="1" x14ac:dyDescent="0.2">
      <c r="B316" s="505" t="s">
        <v>1611</v>
      </c>
      <c r="C316" s="505"/>
    </row>
    <row r="317" spans="2:3" x14ac:dyDescent="0.2">
      <c r="B317" s="505"/>
      <c r="C317" s="505"/>
    </row>
    <row r="318" spans="2:3" x14ac:dyDescent="0.2">
      <c r="B318" s="505"/>
      <c r="C318" s="505"/>
    </row>
    <row r="319" spans="2:3" x14ac:dyDescent="0.2">
      <c r="B319" s="505"/>
      <c r="C319" s="505"/>
    </row>
    <row r="320" spans="2:3" ht="12.75" customHeight="1" x14ac:dyDescent="0.2">
      <c r="B320" s="505" t="s">
        <v>1612</v>
      </c>
      <c r="C320" s="505"/>
    </row>
    <row r="321" spans="2:3" ht="78" customHeight="1" x14ac:dyDescent="0.2">
      <c r="B321" s="505"/>
      <c r="C321" s="505"/>
    </row>
    <row r="322" spans="2:3" x14ac:dyDescent="0.2">
      <c r="B322" s="505"/>
      <c r="C322" s="505"/>
    </row>
    <row r="323" spans="2:3" x14ac:dyDescent="0.2">
      <c r="B323" s="505" t="s">
        <v>1613</v>
      </c>
      <c r="C323" s="505"/>
    </row>
    <row r="324" spans="2:3" x14ac:dyDescent="0.2">
      <c r="B324" s="505"/>
      <c r="C324" s="505"/>
    </row>
    <row r="325" spans="2:3" x14ac:dyDescent="0.2">
      <c r="B325" s="505"/>
      <c r="C325" s="505"/>
    </row>
    <row r="326" spans="2:3" x14ac:dyDescent="0.2">
      <c r="B326" s="505"/>
      <c r="C326" s="505"/>
    </row>
    <row r="327" spans="2:3" ht="12.75" customHeight="1" x14ac:dyDescent="0.2">
      <c r="B327" s="241" t="s">
        <v>1614</v>
      </c>
    </row>
    <row r="328" spans="2:3" ht="12.75" customHeight="1" x14ac:dyDescent="0.2">
      <c r="B328" s="505" t="s">
        <v>1615</v>
      </c>
      <c r="C328" s="505"/>
    </row>
    <row r="329" spans="2:3" x14ac:dyDescent="0.2">
      <c r="B329" s="505"/>
      <c r="C329" s="505"/>
    </row>
    <row r="330" spans="2:3" ht="27.75" customHeight="1" x14ac:dyDescent="0.2">
      <c r="B330" s="505"/>
      <c r="C330" s="505"/>
    </row>
    <row r="331" spans="2:3" x14ac:dyDescent="0.2">
      <c r="B331" s="241" t="s">
        <v>1616</v>
      </c>
    </row>
    <row r="332" spans="2:3" ht="12.75" customHeight="1" x14ac:dyDescent="0.2">
      <c r="B332" s="505" t="s">
        <v>1253</v>
      </c>
      <c r="C332" s="505"/>
    </row>
    <row r="333" spans="2:3" ht="12.75" customHeight="1" x14ac:dyDescent="0.2">
      <c r="B333" s="505"/>
      <c r="C333" s="505"/>
    </row>
    <row r="334" spans="2:3" ht="12.75" customHeight="1" x14ac:dyDescent="0.2">
      <c r="B334" s="505"/>
      <c r="C334" s="505"/>
    </row>
    <row r="335" spans="2:3" ht="12.75" customHeight="1" x14ac:dyDescent="0.2">
      <c r="B335" s="505"/>
      <c r="C335" s="505"/>
    </row>
    <row r="336" spans="2:3" ht="12.75" customHeight="1" x14ac:dyDescent="0.2">
      <c r="B336" s="505"/>
      <c r="C336" s="505"/>
    </row>
    <row r="337" spans="2:3" ht="12.75" customHeight="1" x14ac:dyDescent="0.2">
      <c r="B337" s="505"/>
      <c r="C337" s="505"/>
    </row>
    <row r="338" spans="2:3" ht="12.75" customHeight="1" x14ac:dyDescent="0.2">
      <c r="B338" s="505"/>
      <c r="C338" s="505"/>
    </row>
    <row r="339" spans="2:3" x14ac:dyDescent="0.2">
      <c r="B339" s="505"/>
      <c r="C339" s="505"/>
    </row>
    <row r="340" spans="2:3" x14ac:dyDescent="0.2">
      <c r="B340" s="241" t="s">
        <v>1617</v>
      </c>
    </row>
    <row r="341" spans="2:3" x14ac:dyDescent="0.2">
      <c r="B341" s="505" t="s">
        <v>1618</v>
      </c>
      <c r="C341" s="505"/>
    </row>
    <row r="342" spans="2:3" x14ac:dyDescent="0.2">
      <c r="B342" s="505"/>
      <c r="C342" s="505"/>
    </row>
    <row r="343" spans="2:3" x14ac:dyDescent="0.2">
      <c r="B343" s="241" t="s">
        <v>1619</v>
      </c>
    </row>
    <row r="344" spans="2:3" x14ac:dyDescent="0.2">
      <c r="B344" s="505" t="s">
        <v>1254</v>
      </c>
      <c r="C344" s="505"/>
    </row>
    <row r="345" spans="2:3" x14ac:dyDescent="0.2">
      <c r="B345" s="505"/>
      <c r="C345" s="505"/>
    </row>
    <row r="346" spans="2:3" x14ac:dyDescent="0.2">
      <c r="B346" s="505"/>
      <c r="C346" s="505"/>
    </row>
  </sheetData>
  <mergeCells count="70">
    <mergeCell ref="B50:C50"/>
    <mergeCell ref="B10:C13"/>
    <mergeCell ref="B16:C18"/>
    <mergeCell ref="B20:C22"/>
    <mergeCell ref="B24:C24"/>
    <mergeCell ref="B27:C27"/>
    <mergeCell ref="B28:C28"/>
    <mergeCell ref="B33:C35"/>
    <mergeCell ref="B37:C37"/>
    <mergeCell ref="B41:C42"/>
    <mergeCell ref="B44:C45"/>
    <mergeCell ref="B47:C47"/>
    <mergeCell ref="B106:C106"/>
    <mergeCell ref="B55:C55"/>
    <mergeCell ref="B58:C58"/>
    <mergeCell ref="B65:C65"/>
    <mergeCell ref="B70:C73"/>
    <mergeCell ref="B77:C86"/>
    <mergeCell ref="B88:C88"/>
    <mergeCell ref="B89:C89"/>
    <mergeCell ref="B90:C90"/>
    <mergeCell ref="B93:C93"/>
    <mergeCell ref="B95:C95"/>
    <mergeCell ref="B103:C104"/>
    <mergeCell ref="B66:C66"/>
    <mergeCell ref="B155:C155"/>
    <mergeCell ref="B110:C115"/>
    <mergeCell ref="B116:C119"/>
    <mergeCell ref="B121:C123"/>
    <mergeCell ref="B125:C127"/>
    <mergeCell ref="B129:C132"/>
    <mergeCell ref="B134:C134"/>
    <mergeCell ref="B137:C137"/>
    <mergeCell ref="B141:C146"/>
    <mergeCell ref="B149:C149"/>
    <mergeCell ref="B153:C153"/>
    <mergeCell ref="B154:C154"/>
    <mergeCell ref="B227:C229"/>
    <mergeCell ref="B167:C167"/>
    <mergeCell ref="B169:C171"/>
    <mergeCell ref="B172:C172"/>
    <mergeCell ref="B173:C173"/>
    <mergeCell ref="B175:C179"/>
    <mergeCell ref="B180:C182"/>
    <mergeCell ref="B183:C186"/>
    <mergeCell ref="B188:C194"/>
    <mergeCell ref="B196:C199"/>
    <mergeCell ref="B200:C202"/>
    <mergeCell ref="B223:C226"/>
    <mergeCell ref="B299:C303"/>
    <mergeCell ref="B230:C234"/>
    <mergeCell ref="B235:C238"/>
    <mergeCell ref="B240:C258"/>
    <mergeCell ref="B260:C263"/>
    <mergeCell ref="B266:C270"/>
    <mergeCell ref="B272:C280"/>
    <mergeCell ref="B282:C285"/>
    <mergeCell ref="B286:C288"/>
    <mergeCell ref="B290:C290"/>
    <mergeCell ref="B293:C293"/>
    <mergeCell ref="B295:C297"/>
    <mergeCell ref="B332:C339"/>
    <mergeCell ref="B341:C342"/>
    <mergeCell ref="B344:C346"/>
    <mergeCell ref="B304:C307"/>
    <mergeCell ref="B308:C314"/>
    <mergeCell ref="B316:C319"/>
    <mergeCell ref="B320:C322"/>
    <mergeCell ref="B323:C326"/>
    <mergeCell ref="B328:C330"/>
  </mergeCells>
  <pageMargins left="0.39370078740157483" right="0.39370078740157483" top="0.74803149606299213" bottom="0.74803149606299213" header="0.31496062992125984" footer="0.31496062992125984"/>
  <pageSetup paperSize="9" scale="89" firstPageNumber="6" fitToHeight="0" orientation="portrait" cellComments="asDisplayed" r:id="rId1"/>
  <headerFooter>
    <oddHeader>&amp;R&amp;G</oddHeader>
    <oddFooter>&amp;RPage &amp;P</oddFooter>
  </headerFooter>
  <rowBreaks count="5" manualBreakCount="5">
    <brk id="53" min="1" max="2" man="1"/>
    <brk id="104" min="1" max="2" man="1"/>
    <brk id="194" min="1" max="2" man="1"/>
    <brk id="263" min="1" max="2" man="1"/>
    <brk id="314" min="1" max="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Data</vt:lpstr>
      <vt:lpstr>Header</vt:lpstr>
      <vt:lpstr>Index Page</vt:lpstr>
      <vt:lpstr>Statement of Responsibility</vt:lpstr>
      <vt:lpstr>Comprehensive Income</vt:lpstr>
      <vt:lpstr>Equity</vt:lpstr>
      <vt:lpstr>Financial Position</vt:lpstr>
      <vt:lpstr>Cashflow Statement</vt:lpstr>
      <vt:lpstr>Policies</vt:lpstr>
      <vt:lpstr>Notes</vt:lpstr>
      <vt:lpstr>Employer Compliance</vt:lpstr>
      <vt:lpstr>Cashflow Workpaper</vt:lpstr>
      <vt:lpstr>Cashflow Workpaper 2022</vt:lpstr>
      <vt:lpstr>Codes allocation</vt:lpstr>
      <vt:lpstr>Payroll recon</vt:lpstr>
      <vt:lpstr>ESLData</vt:lpstr>
      <vt:lpstr>'Cashflow Statement'!Print_Area</vt:lpstr>
      <vt:lpstr>'Comprehensive Income'!Print_Area</vt:lpstr>
      <vt:lpstr>Equity!Print_Area</vt:lpstr>
      <vt:lpstr>'Financial Position'!Print_Area</vt:lpstr>
      <vt:lpstr>Header!Print_Area</vt:lpstr>
      <vt:lpstr>'Index Page'!Print_Area</vt:lpstr>
      <vt:lpstr>Notes!Print_Area</vt:lpstr>
      <vt:lpstr>Policies!Print_Area</vt:lpstr>
      <vt:lpstr>'Statement of Responsibility'!Print_Area</vt:lpstr>
    </vt:vector>
  </TitlesOfParts>
  <Manager>ScottM</Manager>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 Differential</dc:title>
  <dc:subject>Kiwi Park</dc:subject>
  <dc:creator>Dennis Cribb</dc:creator>
  <cp:keywords>Finance</cp:keywords>
  <cp:lastModifiedBy>Bridget Lamphee</cp:lastModifiedBy>
  <cp:lastPrinted>2024-05-29T19:36:06Z</cp:lastPrinted>
  <dcterms:created xsi:type="dcterms:W3CDTF">2002-09-06T23:35:01Z</dcterms:created>
  <dcterms:modified xsi:type="dcterms:W3CDTF">2024-05-29T23:07:44Z</dcterms:modified>
  <cp:category>Finance</cp:category>
</cp:coreProperties>
</file>